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4355" windowHeight="8355" tabRatio="958"/>
  </bookViews>
  <sheets>
    <sheet name="Menu" sheetId="37" r:id="rId1"/>
    <sheet name="Kap 4.1 - Z-test - to grupper" sheetId="16" r:id="rId2"/>
    <sheet name="Kap 4.2 - fig 4.4" sheetId="2" r:id="rId3"/>
    <sheet name="Kap 4.2 - fig 4.5" sheetId="3" r:id="rId4"/>
    <sheet name="Kap 4.3, t-test" sheetId="4" r:id="rId5"/>
    <sheet name="Kap 4.3, t-test to gr - ens s" sheetId="17" r:id="rId6"/>
    <sheet name="Kap 4.3, t-test to gr - ikke s" sheetId="18" r:id="rId7"/>
    <sheet name="Kap 4.3, t-test i par" sheetId="5" r:id="rId8"/>
    <sheet name="Kap 4.4, chi-kvadrattest" sheetId="6" r:id="rId9"/>
    <sheet name="Kap 4.5" sheetId="19" r:id="rId10"/>
    <sheet name="Kap 4.6, fig 4.14" sheetId="7" r:id="rId11"/>
    <sheet name="Kap 4.6, F-test" sheetId="36" r:id="rId12"/>
    <sheet name="Kap 4.7, Envejs ANOVA" sheetId="8" r:id="rId13"/>
    <sheet name="Kap 4.8, Tovejs ANOVA additiv" sheetId="27" r:id="rId14"/>
    <sheet name="Kap 4.9, Tovejs ANOVA int" sheetId="28" r:id="rId15"/>
  </sheets>
  <calcPr calcId="145621"/>
</workbook>
</file>

<file path=xl/calcChain.xml><?xml version="1.0" encoding="utf-8"?>
<calcChain xmlns="http://schemas.openxmlformats.org/spreadsheetml/2006/main">
  <c r="J19" i="8" l="1"/>
  <c r="C14" i="36"/>
  <c r="B14" i="36"/>
  <c r="I6" i="36"/>
  <c r="F6" i="36"/>
  <c r="F5" i="36"/>
  <c r="E14" i="19"/>
  <c r="E7" i="19"/>
  <c r="E15" i="19"/>
  <c r="E6" i="19"/>
  <c r="C8" i="19"/>
  <c r="C16" i="19" s="1"/>
  <c r="D8" i="19"/>
  <c r="D16" i="19" s="1"/>
  <c r="B8" i="19"/>
  <c r="B16" i="19" s="1"/>
  <c r="F5" i="18"/>
  <c r="F6" i="18"/>
  <c r="H6" i="18" s="1"/>
  <c r="H7" i="18" s="1"/>
  <c r="I6" i="18"/>
  <c r="B14" i="18"/>
  <c r="C14" i="18"/>
  <c r="F11" i="18" s="1"/>
  <c r="F5" i="17"/>
  <c r="F6" i="17"/>
  <c r="H6" i="17" s="1"/>
  <c r="H10" i="17" s="1"/>
  <c r="I6" i="17"/>
  <c r="B14" i="17"/>
  <c r="C14" i="17"/>
  <c r="B20" i="17"/>
  <c r="G16" i="17"/>
  <c r="B14" i="16"/>
  <c r="C14" i="16"/>
  <c r="F11" i="16" s="1"/>
  <c r="G16" i="16"/>
  <c r="H5" i="8"/>
  <c r="J5" i="8" s="1"/>
  <c r="H6" i="8"/>
  <c r="J6" i="8" s="1"/>
  <c r="H7" i="8"/>
  <c r="J7" i="8" s="1"/>
  <c r="H8" i="8"/>
  <c r="J8" i="8" s="1"/>
  <c r="H9" i="8"/>
  <c r="D24" i="8" s="1"/>
  <c r="D14" i="8"/>
  <c r="D15" i="8"/>
  <c r="D16" i="8"/>
  <c r="C17" i="8"/>
  <c r="G17" i="8"/>
  <c r="E24" i="8"/>
  <c r="E25" i="8"/>
  <c r="E26" i="8"/>
  <c r="D27" i="8"/>
  <c r="E3" i="7"/>
  <c r="B16" i="6"/>
  <c r="E5" i="6" s="1"/>
  <c r="E6" i="6" s="1"/>
  <c r="D4" i="5"/>
  <c r="D5" i="5"/>
  <c r="D6" i="5"/>
  <c r="D7" i="5"/>
  <c r="D8" i="5"/>
  <c r="G9" i="5"/>
  <c r="H9" i="5"/>
  <c r="I9" i="5"/>
  <c r="J9" i="5"/>
  <c r="G12" i="5"/>
  <c r="H12" i="5"/>
  <c r="I12" i="5"/>
  <c r="J12" i="5"/>
  <c r="K4" i="4"/>
  <c r="L4" i="4"/>
  <c r="M4" i="4"/>
  <c r="C13" i="4"/>
  <c r="F4" i="4" s="1"/>
  <c r="K13" i="4"/>
  <c r="L13" i="4"/>
  <c r="M13" i="4"/>
  <c r="D19" i="4"/>
  <c r="B8" i="3"/>
  <c r="G11" i="3"/>
  <c r="E17" i="3"/>
  <c r="F22" i="3"/>
  <c r="G27" i="3"/>
  <c r="E33" i="3"/>
  <c r="F38" i="3"/>
  <c r="G43" i="3"/>
  <c r="E49" i="3"/>
  <c r="F54" i="3"/>
  <c r="G59" i="3"/>
  <c r="E65" i="3"/>
  <c r="F70" i="3"/>
  <c r="G75" i="3"/>
  <c r="E81" i="3"/>
  <c r="F86" i="3"/>
  <c r="G91" i="3"/>
  <c r="E97" i="3"/>
  <c r="F102" i="3"/>
  <c r="B8" i="2"/>
  <c r="F104" i="3"/>
  <c r="E99" i="3"/>
  <c r="G93" i="3"/>
  <c r="F88" i="3"/>
  <c r="E83" i="3"/>
  <c r="G77" i="3"/>
  <c r="F72" i="3"/>
  <c r="F68" i="3"/>
  <c r="G65" i="3"/>
  <c r="E63" i="3"/>
  <c r="F60" i="3"/>
  <c r="G57" i="3"/>
  <c r="E55" i="3"/>
  <c r="F52" i="3"/>
  <c r="G49" i="3"/>
  <c r="E47" i="3"/>
  <c r="F44" i="3"/>
  <c r="G41" i="3"/>
  <c r="E39" i="3"/>
  <c r="F36" i="3"/>
  <c r="G33" i="3"/>
  <c r="E31" i="3"/>
  <c r="F28" i="3"/>
  <c r="G25" i="3"/>
  <c r="E23" i="3"/>
  <c r="F20" i="3"/>
  <c r="G17" i="3"/>
  <c r="E15" i="3"/>
  <c r="F12" i="3"/>
  <c r="G9" i="3"/>
  <c r="F7" i="3"/>
  <c r="F14" i="4"/>
  <c r="F12" i="4"/>
  <c r="F6" i="3"/>
  <c r="G7" i="3"/>
  <c r="G8" i="3"/>
  <c r="E10" i="3"/>
  <c r="F11" i="3"/>
  <c r="G12" i="3"/>
  <c r="E14" i="3"/>
  <c r="F15" i="3"/>
  <c r="G16" i="3"/>
  <c r="E18" i="3"/>
  <c r="F19" i="3"/>
  <c r="G20" i="3"/>
  <c r="E22" i="3"/>
  <c r="F23" i="3"/>
  <c r="G24" i="3"/>
  <c r="E26" i="3"/>
  <c r="F27" i="3"/>
  <c r="G28" i="3"/>
  <c r="E30" i="3"/>
  <c r="F31" i="3"/>
  <c r="G32" i="3"/>
  <c r="E34" i="3"/>
  <c r="F35" i="3"/>
  <c r="G36" i="3"/>
  <c r="E38" i="3"/>
  <c r="F39" i="3"/>
  <c r="G40" i="3"/>
  <c r="E42" i="3"/>
  <c r="F43" i="3"/>
  <c r="G44" i="3"/>
  <c r="E46" i="3"/>
  <c r="F47" i="3"/>
  <c r="G48" i="3"/>
  <c r="E50" i="3"/>
  <c r="F51" i="3"/>
  <c r="G52" i="3"/>
  <c r="E54" i="3"/>
  <c r="F55" i="3"/>
  <c r="G56" i="3"/>
  <c r="E58" i="3"/>
  <c r="F59" i="3"/>
  <c r="G60" i="3"/>
  <c r="E62" i="3"/>
  <c r="F63" i="3"/>
  <c r="G64" i="3"/>
  <c r="E66" i="3"/>
  <c r="F67" i="3"/>
  <c r="G68" i="3"/>
  <c r="E70" i="3"/>
  <c r="F71" i="3"/>
  <c r="G72" i="3"/>
  <c r="E74" i="3"/>
  <c r="F75" i="3"/>
  <c r="G76" i="3"/>
  <c r="E78" i="3"/>
  <c r="F79" i="3"/>
  <c r="G80" i="3"/>
  <c r="E82" i="3"/>
  <c r="F83" i="3"/>
  <c r="G84" i="3"/>
  <c r="E86" i="3"/>
  <c r="F87" i="3"/>
  <c r="G88" i="3"/>
  <c r="E90" i="3"/>
  <c r="F91" i="3"/>
  <c r="G92" i="3"/>
  <c r="E94" i="3"/>
  <c r="F95" i="3"/>
  <c r="G96" i="3"/>
  <c r="E98" i="3"/>
  <c r="F99" i="3"/>
  <c r="G100" i="3"/>
  <c r="E102" i="3"/>
  <c r="F103" i="3"/>
  <c r="G104" i="3"/>
  <c r="E106" i="3"/>
  <c r="G4" i="4"/>
  <c r="F6" i="4"/>
  <c r="G12" i="4"/>
  <c r="H22" i="16"/>
  <c r="E19" i="16"/>
  <c r="G6" i="4"/>
  <c r="G27" i="8"/>
  <c r="E27" i="8"/>
  <c r="C27" i="8"/>
  <c r="F26" i="8"/>
  <c r="D26" i="8"/>
  <c r="F25" i="8"/>
  <c r="D25" i="8"/>
  <c r="F24" i="8"/>
  <c r="F17" i="8"/>
  <c r="D17" i="8"/>
  <c r="G16" i="8"/>
  <c r="E16" i="8"/>
  <c r="C16" i="8"/>
  <c r="E15" i="8"/>
  <c r="C15" i="8"/>
  <c r="E14" i="8"/>
  <c r="C14" i="8"/>
  <c r="I12" i="17"/>
  <c r="F11" i="17" s="1"/>
  <c r="B20" i="18"/>
  <c r="B21" i="18" s="1"/>
  <c r="E8" i="19"/>
  <c r="E16" i="19" s="1"/>
  <c r="J11" i="8" l="1"/>
  <c r="J12" i="8" s="1"/>
  <c r="G14" i="4"/>
  <c r="J7" i="4"/>
  <c r="F5" i="4"/>
  <c r="G5" i="4"/>
  <c r="G13" i="4"/>
  <c r="J16" i="4"/>
  <c r="F13" i="4"/>
  <c r="F27" i="8"/>
  <c r="G26" i="8"/>
  <c r="C26" i="8"/>
  <c r="C25" i="8"/>
  <c r="C24" i="8"/>
  <c r="D29" i="8" s="1"/>
  <c r="D30" i="8" s="1"/>
  <c r="E17" i="8"/>
  <c r="F16" i="8"/>
  <c r="F15" i="8"/>
  <c r="F14" i="8"/>
  <c r="D19" i="8" s="1"/>
  <c r="D20" i="8" s="1"/>
  <c r="J17" i="8" s="1"/>
  <c r="I22" i="8" s="1"/>
  <c r="D10" i="5"/>
  <c r="D14" i="19"/>
  <c r="D23" i="19" s="1"/>
  <c r="D15" i="19"/>
  <c r="D24" i="19" s="1"/>
  <c r="C15" i="19"/>
  <c r="C24" i="19" s="1"/>
  <c r="B15" i="19"/>
  <c r="B24" i="19" s="1"/>
  <c r="B14" i="19"/>
  <c r="B23" i="19" s="1"/>
  <c r="E25" i="19" s="1"/>
  <c r="E28" i="19" s="1"/>
  <c r="C14" i="19"/>
  <c r="C23" i="19" s="1"/>
  <c r="E19" i="17"/>
  <c r="H22" i="17"/>
  <c r="H22" i="18"/>
  <c r="G16" i="18"/>
  <c r="E19" i="18" s="1"/>
  <c r="E6" i="2"/>
  <c r="F6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7" i="2"/>
  <c r="F7" i="2" s="1"/>
  <c r="E6" i="3"/>
  <c r="F10" i="3"/>
  <c r="E13" i="3"/>
  <c r="G15" i="3"/>
  <c r="F18" i="3"/>
  <c r="E21" i="3"/>
  <c r="G23" i="3"/>
  <c r="F26" i="3"/>
  <c r="E29" i="3"/>
  <c r="G31" i="3"/>
  <c r="F34" i="3"/>
  <c r="E37" i="3"/>
  <c r="G39" i="3"/>
  <c r="F42" i="3"/>
  <c r="E45" i="3"/>
  <c r="G47" i="3"/>
  <c r="F50" i="3"/>
  <c r="E53" i="3"/>
  <c r="G55" i="3"/>
  <c r="F58" i="3"/>
  <c r="E61" i="3"/>
  <c r="G63" i="3"/>
  <c r="F66" i="3"/>
  <c r="E69" i="3"/>
  <c r="G71" i="3"/>
  <c r="F74" i="3"/>
  <c r="E77" i="3"/>
  <c r="G79" i="3"/>
  <c r="F82" i="3"/>
  <c r="E85" i="3"/>
  <c r="G87" i="3"/>
  <c r="F90" i="3"/>
  <c r="E93" i="3"/>
  <c r="G95" i="3"/>
  <c r="F98" i="3"/>
  <c r="E101" i="3"/>
  <c r="G103" i="3"/>
  <c r="F106" i="3"/>
  <c r="G105" i="3"/>
  <c r="E103" i="3"/>
  <c r="F100" i="3"/>
  <c r="G97" i="3"/>
  <c r="E95" i="3"/>
  <c r="F92" i="3"/>
  <c r="G89" i="3"/>
  <c r="E87" i="3"/>
  <c r="F84" i="3"/>
  <c r="G81" i="3"/>
  <c r="E79" i="3"/>
  <c r="F76" i="3"/>
  <c r="G73" i="3"/>
  <c r="E71" i="3"/>
  <c r="K23" i="4"/>
  <c r="K20" i="4"/>
  <c r="G6" i="3"/>
  <c r="G106" i="3"/>
  <c r="F105" i="3"/>
  <c r="E104" i="3"/>
  <c r="G102" i="3"/>
  <c r="F101" i="3"/>
  <c r="E100" i="3"/>
  <c r="G98" i="3"/>
  <c r="F97" i="3"/>
  <c r="E96" i="3"/>
  <c r="G94" i="3"/>
  <c r="F93" i="3"/>
  <c r="E92" i="3"/>
  <c r="G90" i="3"/>
  <c r="F89" i="3"/>
  <c r="E88" i="3"/>
  <c r="G86" i="3"/>
  <c r="F85" i="3"/>
  <c r="E84" i="3"/>
  <c r="G82" i="3"/>
  <c r="F81" i="3"/>
  <c r="E80" i="3"/>
  <c r="G78" i="3"/>
  <c r="F77" i="3"/>
  <c r="E76" i="3"/>
  <c r="G74" i="3"/>
  <c r="F73" i="3"/>
  <c r="E72" i="3"/>
  <c r="G70" i="3"/>
  <c r="F69" i="3"/>
  <c r="E68" i="3"/>
  <c r="G66" i="3"/>
  <c r="F65" i="3"/>
  <c r="E64" i="3"/>
  <c r="G62" i="3"/>
  <c r="F61" i="3"/>
  <c r="E60" i="3"/>
  <c r="G58" i="3"/>
  <c r="F57" i="3"/>
  <c r="E56" i="3"/>
  <c r="G54" i="3"/>
  <c r="F53" i="3"/>
  <c r="E52" i="3"/>
  <c r="G50" i="3"/>
  <c r="F49" i="3"/>
  <c r="E48" i="3"/>
  <c r="G46" i="3"/>
  <c r="F45" i="3"/>
  <c r="E44" i="3"/>
  <c r="G42" i="3"/>
  <c r="F41" i="3"/>
  <c r="E40" i="3"/>
  <c r="G38" i="3"/>
  <c r="F37" i="3"/>
  <c r="E36" i="3"/>
  <c r="G34" i="3"/>
  <c r="F33" i="3"/>
  <c r="E32" i="3"/>
  <c r="G30" i="3"/>
  <c r="F29" i="3"/>
  <c r="E28" i="3"/>
  <c r="G26" i="3"/>
  <c r="F25" i="3"/>
  <c r="E24" i="3"/>
  <c r="G22" i="3"/>
  <c r="F21" i="3"/>
  <c r="E20" i="3"/>
  <c r="G18" i="3"/>
  <c r="F17" i="3"/>
  <c r="E16" i="3"/>
  <c r="G14" i="3"/>
  <c r="F13" i="3"/>
  <c r="E12" i="3"/>
  <c r="G10" i="3"/>
  <c r="F9" i="3"/>
  <c r="E8" i="3"/>
  <c r="E7" i="3"/>
  <c r="F8" i="3"/>
  <c r="E11" i="3"/>
  <c r="G13" i="3"/>
  <c r="F16" i="3"/>
  <c r="E19" i="3"/>
  <c r="G21" i="3"/>
  <c r="F24" i="3"/>
  <c r="E27" i="3"/>
  <c r="G29" i="3"/>
  <c r="F32" i="3"/>
  <c r="E35" i="3"/>
  <c r="G37" i="3"/>
  <c r="F40" i="3"/>
  <c r="E43" i="3"/>
  <c r="G45" i="3"/>
  <c r="F48" i="3"/>
  <c r="E51" i="3"/>
  <c r="G53" i="3"/>
  <c r="F56" i="3"/>
  <c r="E59" i="3"/>
  <c r="G61" i="3"/>
  <c r="F64" i="3"/>
  <c r="E67" i="3"/>
  <c r="G69" i="3"/>
  <c r="E75" i="3"/>
  <c r="F80" i="3"/>
  <c r="G85" i="3"/>
  <c r="E91" i="3"/>
  <c r="F96" i="3"/>
  <c r="G101" i="3"/>
  <c r="E105" i="3"/>
  <c r="G99" i="3"/>
  <c r="F94" i="3"/>
  <c r="E89" i="3"/>
  <c r="G83" i="3"/>
  <c r="F78" i="3"/>
  <c r="E73" i="3"/>
  <c r="G67" i="3"/>
  <c r="F62" i="3"/>
  <c r="E57" i="3"/>
  <c r="G51" i="3"/>
  <c r="F46" i="3"/>
  <c r="E41" i="3"/>
  <c r="G35" i="3"/>
  <c r="F30" i="3"/>
  <c r="E25" i="3"/>
  <c r="G19" i="3"/>
  <c r="F14" i="3"/>
  <c r="E9" i="3"/>
  <c r="D11" i="5"/>
  <c r="G4" i="5" s="1"/>
  <c r="H6" i="36"/>
  <c r="H10" i="36" s="1"/>
  <c r="G16" i="5" l="1"/>
  <c r="G17" i="5"/>
</calcChain>
</file>

<file path=xl/sharedStrings.xml><?xml version="1.0" encoding="utf-8"?>
<sst xmlns="http://schemas.openxmlformats.org/spreadsheetml/2006/main" count="425" uniqueCount="208">
  <si>
    <t>Normalfordeling</t>
  </si>
  <si>
    <t>a/2</t>
  </si>
  <si>
    <r>
      <t>z</t>
    </r>
    <r>
      <rPr>
        <vertAlign val="subscript"/>
        <sz val="11"/>
        <color indexed="8"/>
        <rFont val="Symbol"/>
        <family val="1"/>
        <charset val="2"/>
      </rPr>
      <t>a/2</t>
    </r>
  </si>
  <si>
    <r>
      <rPr>
        <i/>
        <sz val="11"/>
        <color indexed="8"/>
        <rFont val="Calibri"/>
        <family val="2"/>
      </rPr>
      <t>z</t>
    </r>
    <r>
      <rPr>
        <vertAlign val="subscript"/>
        <sz val="11"/>
        <color indexed="8"/>
        <rFont val="Calibri"/>
        <family val="2"/>
      </rPr>
      <t>obs</t>
    </r>
  </si>
  <si>
    <t>t-fordeling</t>
  </si>
  <si>
    <r>
      <rPr>
        <sz val="11"/>
        <color indexed="8"/>
        <rFont val="Symbol"/>
        <family val="1"/>
        <charset val="2"/>
      </rPr>
      <t>m</t>
    </r>
    <r>
      <rPr>
        <vertAlign val="subscript"/>
        <sz val="11"/>
        <color indexed="8"/>
        <rFont val="Calibri"/>
        <family val="2"/>
      </rPr>
      <t>0</t>
    </r>
  </si>
  <si>
    <r>
      <t>t</t>
    </r>
    <r>
      <rPr>
        <vertAlign val="subscript"/>
        <sz val="11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Calibri"/>
        <family val="2"/>
      </rPr>
      <t>/2</t>
    </r>
  </si>
  <si>
    <t>n</t>
  </si>
  <si>
    <r>
      <rPr>
        <i/>
        <sz val="11"/>
        <color indexed="8"/>
        <rFont val="Calibri"/>
        <family val="2"/>
      </rPr>
      <t>t</t>
    </r>
    <r>
      <rPr>
        <vertAlign val="subscript"/>
        <sz val="11"/>
        <color indexed="8"/>
        <rFont val="Calibri"/>
        <family val="2"/>
      </rPr>
      <t>obs</t>
    </r>
  </si>
  <si>
    <t>s</t>
  </si>
  <si>
    <t>Figur 4.4</t>
  </si>
  <si>
    <r>
      <rPr>
        <sz val="11"/>
        <color indexed="8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(</t>
    </r>
    <r>
      <rPr>
        <sz val="11"/>
        <color indexed="8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)</t>
    </r>
  </si>
  <si>
    <t>m</t>
  </si>
  <si>
    <t>z</t>
  </si>
  <si>
    <t>a</t>
  </si>
  <si>
    <r>
      <t>1 - P(</t>
    </r>
    <r>
      <rPr>
        <i/>
        <sz val="11"/>
        <color indexed="8"/>
        <rFont val="Calibri"/>
        <family val="2"/>
      </rPr>
      <t>Z</t>
    </r>
    <r>
      <rPr>
        <sz val="11"/>
        <color theme="1"/>
        <rFont val="Calibri"/>
        <family val="2"/>
        <scheme val="minor"/>
      </rPr>
      <t>&lt;</t>
    </r>
    <r>
      <rPr>
        <i/>
        <sz val="11"/>
        <color indexed="8"/>
        <rFont val="Calibri"/>
        <family val="2"/>
      </rPr>
      <t>z</t>
    </r>
    <r>
      <rPr>
        <sz val="11"/>
        <color theme="1"/>
        <rFont val="Calibri"/>
        <family val="2"/>
        <scheme val="minor"/>
      </rPr>
      <t>)</t>
    </r>
  </si>
  <si>
    <r>
      <rPr>
        <i/>
        <sz val="11"/>
        <color indexed="8"/>
        <rFont val="Calibri"/>
        <family val="2"/>
      </rPr>
      <t>z</t>
    </r>
    <r>
      <rPr>
        <vertAlign val="subscript"/>
        <sz val="11"/>
        <color indexed="8"/>
        <rFont val="Symbol"/>
        <family val="1"/>
        <charset val="2"/>
      </rPr>
      <t>a</t>
    </r>
  </si>
  <si>
    <t>Figur 4.5</t>
  </si>
  <si>
    <r>
      <t>n</t>
    </r>
    <r>
      <rPr>
        <vertAlign val="subscript"/>
        <sz val="11"/>
        <color indexed="8"/>
        <rFont val="Calibri"/>
        <family val="2"/>
      </rPr>
      <t>1</t>
    </r>
  </si>
  <si>
    <r>
      <t>n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/>
    </r>
  </si>
  <si>
    <r>
      <t>n</t>
    </r>
    <r>
      <rPr>
        <vertAlign val="subscript"/>
        <sz val="11"/>
        <color indexed="8"/>
        <rFont val="Calibri"/>
        <family val="2"/>
      </rPr>
      <t>3</t>
    </r>
    <r>
      <rPr>
        <sz val="11"/>
        <color theme="1"/>
        <rFont val="Calibri"/>
        <family val="2"/>
        <scheme val="minor"/>
      </rPr>
      <t/>
    </r>
  </si>
  <si>
    <t>t-test i par</t>
  </si>
  <si>
    <t>Tosidig</t>
  </si>
  <si>
    <t>Ensidig</t>
  </si>
  <si>
    <t>Tosidig:</t>
  </si>
  <si>
    <t>Ensidig:</t>
  </si>
  <si>
    <t>Variabel 1</t>
  </si>
  <si>
    <t>Variabel 2</t>
  </si>
  <si>
    <t>Varians</t>
  </si>
  <si>
    <t>fg</t>
  </si>
  <si>
    <t>t-Stat</t>
  </si>
  <si>
    <t>P(T&lt;=t) ensidig</t>
  </si>
  <si>
    <t>T-kritisk, ensidig</t>
  </si>
  <si>
    <t>P(T&lt;=t) tosidig</t>
  </si>
  <si>
    <t>T-kritisk, tosidig</t>
  </si>
  <si>
    <r>
      <rPr>
        <i/>
        <sz val="11"/>
        <color indexed="8"/>
        <rFont val="Calibri"/>
        <family val="2"/>
      </rPr>
      <t>x</t>
    </r>
    <r>
      <rPr>
        <vertAlign val="subscript"/>
        <sz val="11"/>
        <color indexed="8"/>
        <rFont val="Calibri"/>
        <family val="2"/>
      </rPr>
      <t>d</t>
    </r>
  </si>
  <si>
    <r>
      <t>t</t>
    </r>
    <r>
      <rPr>
        <vertAlign val="subscript"/>
        <sz val="11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Calibri"/>
        <family val="2"/>
      </rPr>
      <t>/2, 4</t>
    </r>
  </si>
  <si>
    <r>
      <t>t</t>
    </r>
    <r>
      <rPr>
        <vertAlign val="subscript"/>
        <sz val="11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Calibri"/>
        <family val="2"/>
      </rPr>
      <t>, 4</t>
    </r>
  </si>
  <si>
    <t>Figur 4.11</t>
  </si>
  <si>
    <t>Måling nr.</t>
  </si>
  <si>
    <r>
      <rPr>
        <sz val="11"/>
        <color indexed="8"/>
        <rFont val="Symbol"/>
        <family val="1"/>
        <charset val="2"/>
      </rPr>
      <t>c</t>
    </r>
    <r>
      <rPr>
        <vertAlign val="superscript"/>
        <sz val="11"/>
        <color indexed="8"/>
        <rFont val="Calibri"/>
        <family val="2"/>
      </rPr>
      <t>2</t>
    </r>
    <r>
      <rPr>
        <vertAlign val="subscript"/>
        <sz val="11"/>
        <color indexed="8"/>
        <rFont val="Calibri"/>
        <family val="2"/>
      </rPr>
      <t xml:space="preserve">obs </t>
    </r>
    <r>
      <rPr>
        <sz val="11"/>
        <color theme="1"/>
        <rFont val="Calibri"/>
        <family val="2"/>
        <scheme val="minor"/>
      </rPr>
      <t>=</t>
    </r>
  </si>
  <si>
    <r>
      <rPr>
        <i/>
        <sz val="11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 xml:space="preserve"> =</t>
    </r>
  </si>
  <si>
    <r>
      <t>Varians, s</t>
    </r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</si>
  <si>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Calibri"/>
        <family val="2"/>
      </rPr>
      <t>0</t>
    </r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=</t>
    </r>
  </si>
  <si>
    <t>Figur 4.14</t>
  </si>
  <si>
    <r>
      <rPr>
        <i/>
        <sz val="11"/>
        <color indexed="8"/>
        <rFont val="Calibri"/>
        <family val="2"/>
      </rPr>
      <t>n</t>
    </r>
    <r>
      <rPr>
        <vertAlign val="sub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- 1 =</t>
    </r>
  </si>
  <si>
    <r>
      <rPr>
        <i/>
        <sz val="11"/>
        <color indexed="8"/>
        <rFont val="Calibri"/>
        <family val="2"/>
      </rPr>
      <t>f</t>
    </r>
    <r>
      <rPr>
        <vertAlign val="subscript"/>
        <sz val="11"/>
        <color indexed="8"/>
        <rFont val="Calibri"/>
        <family val="2"/>
      </rPr>
      <t>0,05</t>
    </r>
    <r>
      <rPr>
        <sz val="11"/>
        <color theme="1"/>
        <rFont val="Calibri"/>
        <family val="2"/>
        <scheme val="minor"/>
      </rPr>
      <t>(</t>
    </r>
    <r>
      <rPr>
        <i/>
        <sz val="11"/>
        <color indexed="8"/>
        <rFont val="Calibri"/>
        <family val="2"/>
      </rPr>
      <t>n</t>
    </r>
    <r>
      <rPr>
        <vertAlign val="sub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- 1, </t>
    </r>
    <r>
      <rPr>
        <i/>
        <sz val="11"/>
        <color indexed="8"/>
        <rFont val="Calibri"/>
        <family val="2"/>
      </rPr>
      <t>n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- 1) =</t>
    </r>
  </si>
  <si>
    <r>
      <rPr>
        <i/>
        <sz val="11"/>
        <color indexed="8"/>
        <rFont val="Calibri"/>
        <family val="2"/>
      </rPr>
      <t>n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- 1 =</t>
    </r>
  </si>
  <si>
    <r>
      <rPr>
        <sz val="11"/>
        <color indexed="8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=</t>
    </r>
  </si>
  <si>
    <t>Gruppe</t>
  </si>
  <si>
    <t>ANOVA:</t>
  </si>
  <si>
    <t>Variansanalyse: en-faktor</t>
  </si>
  <si>
    <t>SAMMENDRAG</t>
  </si>
  <si>
    <t>Grupper</t>
  </si>
  <si>
    <t>Sum</t>
  </si>
  <si>
    <t>Rad 1</t>
  </si>
  <si>
    <t>Rad 2</t>
  </si>
  <si>
    <t>Rad 3</t>
  </si>
  <si>
    <t>Rad 4</t>
  </si>
  <si>
    <t>Variansanalyse</t>
  </si>
  <si>
    <t>SK</t>
  </si>
  <si>
    <t>GK</t>
  </si>
  <si>
    <t>F</t>
  </si>
  <si>
    <t>F-krit</t>
  </si>
  <si>
    <t>Totalt</t>
  </si>
  <si>
    <r>
      <rPr>
        <i/>
        <sz val="11"/>
        <color indexed="8"/>
        <rFont val="Calibri"/>
        <family val="2"/>
      </rPr>
      <t>SS</t>
    </r>
    <r>
      <rPr>
        <i/>
        <vertAlign val="subscript"/>
        <sz val="11"/>
        <color indexed="8"/>
        <rFont val="Calibri"/>
        <family val="2"/>
      </rPr>
      <t>G</t>
    </r>
    <r>
      <rPr>
        <sz val="11"/>
        <color theme="1"/>
        <rFont val="Calibri"/>
        <family val="2"/>
        <scheme val="minor"/>
      </rPr>
      <t xml:space="preserve"> = </t>
    </r>
  </si>
  <si>
    <r>
      <rPr>
        <i/>
        <sz val="11"/>
        <color indexed="8"/>
        <rFont val="Calibri"/>
        <family val="2"/>
      </rPr>
      <t>S</t>
    </r>
    <r>
      <rPr>
        <i/>
        <vertAlign val="subscript"/>
        <sz val="11"/>
        <color indexed="8"/>
        <rFont val="Calibri"/>
        <family val="2"/>
      </rPr>
      <t>G</t>
    </r>
    <r>
      <rPr>
        <i/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= </t>
    </r>
  </si>
  <si>
    <r>
      <rPr>
        <i/>
        <sz val="11"/>
        <color indexed="8"/>
        <rFont val="Calibri"/>
        <family val="2"/>
      </rPr>
      <t>F</t>
    </r>
    <r>
      <rPr>
        <vertAlign val="subscript"/>
        <sz val="11"/>
        <color indexed="8"/>
        <rFont val="Calibri"/>
        <family val="2"/>
      </rPr>
      <t>obs</t>
    </r>
    <r>
      <rPr>
        <sz val="11"/>
        <color theme="1"/>
        <rFont val="Calibri"/>
        <family val="2"/>
        <scheme val="minor"/>
      </rPr>
      <t xml:space="preserve"> =</t>
    </r>
  </si>
  <si>
    <r>
      <t>SS</t>
    </r>
    <r>
      <rPr>
        <i/>
        <vertAlign val="subscript"/>
        <sz val="11"/>
        <color indexed="8"/>
        <rFont val="Calibri"/>
        <family val="2"/>
      </rPr>
      <t xml:space="preserve">E </t>
    </r>
    <r>
      <rPr>
        <i/>
        <sz val="11"/>
        <color indexed="8"/>
        <rFont val="Calibri"/>
        <family val="2"/>
      </rPr>
      <t xml:space="preserve">= </t>
    </r>
  </si>
  <si>
    <r>
      <rPr>
        <i/>
        <sz val="11"/>
        <color indexed="8"/>
        <rFont val="Calibri"/>
        <family val="2"/>
      </rPr>
      <t>S</t>
    </r>
    <r>
      <rPr>
        <i/>
        <vertAlign val="subscript"/>
        <sz val="11"/>
        <color indexed="8"/>
        <rFont val="Calibri"/>
        <family val="2"/>
      </rPr>
      <t>E</t>
    </r>
    <r>
      <rPr>
        <i/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=  </t>
    </r>
  </si>
  <si>
    <r>
      <t>SS</t>
    </r>
    <r>
      <rPr>
        <i/>
        <vertAlign val="subscript"/>
        <sz val="11"/>
        <color indexed="8"/>
        <rFont val="Calibri"/>
        <family val="2"/>
      </rPr>
      <t xml:space="preserve">T </t>
    </r>
    <r>
      <rPr>
        <i/>
        <sz val="11"/>
        <color indexed="8"/>
        <rFont val="Calibri"/>
        <family val="2"/>
      </rPr>
      <t xml:space="preserve">= </t>
    </r>
  </si>
  <si>
    <r>
      <rPr>
        <i/>
        <sz val="11"/>
        <color indexed="8"/>
        <rFont val="Calibri"/>
        <family val="2"/>
      </rPr>
      <t>S</t>
    </r>
    <r>
      <rPr>
        <i/>
        <vertAlign val="subscript"/>
        <sz val="11"/>
        <color indexed="8"/>
        <rFont val="Calibri"/>
        <family val="2"/>
      </rPr>
      <t>T</t>
    </r>
    <r>
      <rPr>
        <i/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=  </t>
    </r>
  </si>
  <si>
    <t>P(F&lt;=f) en side</t>
  </si>
  <si>
    <t>F-kritisk, en side</t>
  </si>
  <si>
    <t>Gruppevarians</t>
  </si>
  <si>
    <t>Varianser:</t>
  </si>
  <si>
    <t>Signifikanssannsynlighet =</t>
  </si>
  <si>
    <t>P(Z&lt;=z) ensidig</t>
  </si>
  <si>
    <t>Z-kritisk, ensidig</t>
  </si>
  <si>
    <t>P(Z&lt;=z) tosidig</t>
  </si>
  <si>
    <t>Z-kritisk, tosidig</t>
  </si>
  <si>
    <r>
      <t>s</t>
    </r>
    <r>
      <rPr>
        <vertAlign val="subscript"/>
        <sz val="11"/>
        <color indexed="8"/>
        <rFont val="Calibri"/>
        <family val="2"/>
      </rPr>
      <t>1</t>
    </r>
    <r>
      <rPr>
        <vertAlign val="super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 xml:space="preserve"> =</t>
    </r>
  </si>
  <si>
    <r>
      <t>s</t>
    </r>
    <r>
      <rPr>
        <vertAlign val="subscript"/>
        <sz val="11"/>
        <color indexed="8"/>
        <rFont val="Calibri"/>
        <family val="2"/>
      </rPr>
      <t>2</t>
    </r>
    <r>
      <rPr>
        <vertAlign val="super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 xml:space="preserve"> =</t>
    </r>
  </si>
  <si>
    <r>
      <t>m</t>
    </r>
    <r>
      <rPr>
        <vertAlign val="subscript"/>
        <sz val="11"/>
        <color indexed="8"/>
        <rFont val="Calibri"/>
        <family val="2"/>
      </rPr>
      <t>1</t>
    </r>
    <r>
      <rPr>
        <sz val="11"/>
        <color indexed="8"/>
        <rFont val="Calibri"/>
        <family val="2"/>
      </rPr>
      <t xml:space="preserve"> - </t>
    </r>
    <r>
      <rPr>
        <sz val="11"/>
        <color indexed="8"/>
        <rFont val="Symbol"/>
        <family val="1"/>
        <charset val="2"/>
      </rPr>
      <t>m</t>
    </r>
    <r>
      <rPr>
        <vertAlign val="sub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 xml:space="preserve"> =</t>
    </r>
  </si>
  <si>
    <r>
      <t>z</t>
    </r>
    <r>
      <rPr>
        <vertAlign val="subscript"/>
        <sz val="11"/>
        <color indexed="8"/>
        <rFont val="Calibri"/>
        <family val="2"/>
      </rPr>
      <t>obs</t>
    </r>
    <r>
      <rPr>
        <sz val="11"/>
        <color indexed="8"/>
        <rFont val="Calibri"/>
        <family val="2"/>
      </rPr>
      <t xml:space="preserve"> =</t>
    </r>
  </si>
  <si>
    <r>
      <t>n</t>
    </r>
    <r>
      <rPr>
        <vertAlign val="subscript"/>
        <sz val="11"/>
        <color indexed="8"/>
        <rFont val="Calibri"/>
        <family val="2"/>
      </rPr>
      <t>2</t>
    </r>
    <r>
      <rPr>
        <sz val="10"/>
        <rFont val="Arial"/>
        <family val="2"/>
      </rPr>
      <t/>
    </r>
  </si>
  <si>
    <r>
      <t>z</t>
    </r>
    <r>
      <rPr>
        <vertAlign val="subscript"/>
        <sz val="11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Calibri"/>
        <family val="2"/>
      </rPr>
      <t>/2</t>
    </r>
    <r>
      <rPr>
        <sz val="11"/>
        <color indexed="8"/>
        <rFont val="Calibri"/>
        <family val="2"/>
      </rPr>
      <t xml:space="preserve"> =</t>
    </r>
  </si>
  <si>
    <t>F-test på 5 % sign.nivå:</t>
  </si>
  <si>
    <r>
      <t xml:space="preserve">Antar at </t>
    </r>
    <r>
      <rPr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og </t>
    </r>
    <r>
      <rPr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er like</t>
    </r>
  </si>
  <si>
    <r>
      <t>s</t>
    </r>
    <r>
      <rPr>
        <vertAlign val="subscript"/>
        <sz val="10"/>
        <rFont val="Arial"/>
        <family val="2"/>
      </rPr>
      <t>1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</t>
    </r>
  </si>
  <si>
    <r>
      <t>F</t>
    </r>
    <r>
      <rPr>
        <vertAlign val="subscript"/>
        <sz val="10"/>
        <rFont val="Arial"/>
        <family val="2"/>
      </rPr>
      <t>obs</t>
    </r>
  </si>
  <si>
    <r>
      <t>F</t>
    </r>
    <r>
      <rPr>
        <vertAlign val="subscript"/>
        <sz val="10"/>
        <rFont val="Arial"/>
        <family val="2"/>
      </rPr>
      <t>0,025</t>
    </r>
    <r>
      <rPr>
        <sz val="10"/>
        <rFont val="Arial"/>
        <family val="2"/>
      </rPr>
      <t xml:space="preserve"> (5, 7)</t>
    </r>
  </si>
  <si>
    <r>
      <t>s</t>
    </r>
    <r>
      <rPr>
        <vertAlign val="subscript"/>
        <sz val="10"/>
        <rFont val="Arial"/>
        <family val="2"/>
      </rPr>
      <t>2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</t>
    </r>
  </si>
  <si>
    <r>
      <t>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- </t>
    </r>
    <r>
      <rPr>
        <sz val="10"/>
        <rFont val="Symbol"/>
        <family val="1"/>
        <charset val="2"/>
      </rPr>
      <t>m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</t>
    </r>
  </si>
  <si>
    <r>
      <t>t</t>
    </r>
    <r>
      <rPr>
        <vertAlign val="subscript"/>
        <sz val="10"/>
        <rFont val="Arial"/>
        <family val="2"/>
      </rPr>
      <t>obs</t>
    </r>
    <r>
      <rPr>
        <sz val="10"/>
        <rFont val="Arial"/>
        <family val="2"/>
      </rPr>
      <t xml:space="preserve"> =</t>
    </r>
  </si>
  <si>
    <r>
      <t>s</t>
    </r>
    <r>
      <rPr>
        <vertAlign val="subscript"/>
        <sz val="10"/>
        <rFont val="Arial"/>
        <family val="2"/>
      </rPr>
      <t>p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</t>
    </r>
  </si>
  <si>
    <r>
      <t>n</t>
    </r>
    <r>
      <rPr>
        <vertAlign val="subscript"/>
        <sz val="10"/>
        <rFont val="Arial"/>
        <family val="2"/>
      </rPr>
      <t>1</t>
    </r>
  </si>
  <si>
    <r>
      <t>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/>
    </r>
  </si>
  <si>
    <r>
      <t>t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=</t>
    </r>
  </si>
  <si>
    <r>
      <t>n</t>
    </r>
    <r>
      <rPr>
        <sz val="10"/>
        <rFont val="Arial"/>
        <family val="2"/>
      </rPr>
      <t xml:space="preserve"> - 1</t>
    </r>
  </si>
  <si>
    <t>1. Dårlig</t>
  </si>
  <si>
    <t>3. Godt</t>
  </si>
  <si>
    <t>sum</t>
  </si>
  <si>
    <r>
      <t xml:space="preserve">Faktor A </t>
    </r>
    <r>
      <rPr>
        <sz val="10"/>
        <rFont val="Symbol"/>
        <family val="1"/>
        <charset val="2"/>
      </rPr>
      <t>®</t>
    </r>
  </si>
  <si>
    <r>
      <t xml:space="preserve">Faktor B </t>
    </r>
    <r>
      <rPr>
        <sz val="10"/>
        <rFont val="Symbol"/>
        <family val="1"/>
        <charset val="2"/>
      </rPr>
      <t>¯</t>
    </r>
  </si>
  <si>
    <r>
      <t>a</t>
    </r>
    <r>
      <rPr>
        <sz val="11"/>
        <color theme="1"/>
        <rFont val="Calibri"/>
        <family val="2"/>
        <scheme val="minor"/>
      </rPr>
      <t xml:space="preserve"> = 0,05</t>
    </r>
  </si>
  <si>
    <t>Kolonne 1</t>
  </si>
  <si>
    <t>Kolonne 2</t>
  </si>
  <si>
    <t>Kolonne 3</t>
  </si>
  <si>
    <t>Kolonne 4</t>
  </si>
  <si>
    <t>Kolonne 5</t>
  </si>
  <si>
    <t>Kolonne 6</t>
  </si>
  <si>
    <t>Kolonne 7</t>
  </si>
  <si>
    <t>Kolonne 8</t>
  </si>
  <si>
    <t>Kolonner</t>
  </si>
  <si>
    <t xml:space="preserve"> </t>
  </si>
  <si>
    <t xml:space="preserve">F-test </t>
  </si>
  <si>
    <r>
      <rPr>
        <i/>
        <sz val="11"/>
        <color indexed="8"/>
        <rFont val="Calibri"/>
        <family val="2"/>
      </rPr>
      <t>f</t>
    </r>
    <r>
      <rPr>
        <vertAlign val="subscript"/>
        <sz val="11"/>
        <color indexed="8"/>
        <rFont val="Calibri"/>
        <family val="2"/>
      </rPr>
      <t>0,05</t>
    </r>
    <r>
      <rPr>
        <sz val="11"/>
        <color theme="1"/>
        <rFont val="Calibri"/>
        <family val="2"/>
        <scheme val="minor"/>
      </rPr>
      <t xml:space="preserve">(3,14) = </t>
    </r>
  </si>
  <si>
    <t>Z-test, to grupper</t>
  </si>
  <si>
    <r>
      <t xml:space="preserve">Antag at </t>
    </r>
    <r>
      <rPr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og </t>
    </r>
    <r>
      <rPr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er ens</t>
    </r>
  </si>
  <si>
    <t>Datasæt 1</t>
  </si>
  <si>
    <t>Datasæt 2</t>
  </si>
  <si>
    <r>
      <t xml:space="preserve">Der er en ikke signifikant forskel mellem </t>
    </r>
    <r>
      <rPr>
        <i/>
        <sz val="10"/>
        <rFont val="Arial"/>
        <family val="2"/>
      </rPr>
      <t>s</t>
    </r>
    <r>
      <rPr>
        <vertAlign val="subscript"/>
        <sz val="10"/>
        <rFont val="Arial"/>
        <family val="2"/>
      </rPr>
      <t>1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og </t>
    </r>
    <r>
      <rPr>
        <i/>
        <sz val="10"/>
        <rFont val="Arial"/>
        <family val="2"/>
      </rPr>
      <t>s</t>
    </r>
    <r>
      <rPr>
        <vertAlign val="subscript"/>
        <sz val="10"/>
        <rFont val="Arial"/>
        <family val="2"/>
      </rPr>
      <t>2</t>
    </r>
    <r>
      <rPr>
        <vertAlign val="superscript"/>
        <sz val="10"/>
        <rFont val="Arial"/>
        <family val="2"/>
      </rPr>
      <t>2</t>
    </r>
  </si>
  <si>
    <t>Signifikanssandsynlighed for F-testen:</t>
  </si>
  <si>
    <t>F-Test: To udvalgte varianser</t>
  </si>
  <si>
    <t>Gennemsnit</t>
  </si>
  <si>
    <t>Hovedmenu</t>
  </si>
  <si>
    <t>Observationer</t>
  </si>
  <si>
    <t>Indhold:</t>
  </si>
  <si>
    <t>Kapitel 4.2, figur 4.4</t>
  </si>
  <si>
    <t>Kapitel 4.2, figur 4.5</t>
  </si>
  <si>
    <t>Kapitel 4.3, t-test i par</t>
  </si>
  <si>
    <t>Kapitel 4.6, figur 4.14</t>
  </si>
  <si>
    <t>Kapitel 4.6, F-test</t>
  </si>
  <si>
    <t>Signifikanssandsynlighed =</t>
  </si>
  <si>
    <t>Z-Test: Gennemsnit for to udvalg</t>
  </si>
  <si>
    <t>Kendt varians</t>
  </si>
  <si>
    <t>Antaget afvigelse mellem gennemsnittene</t>
  </si>
  <si>
    <t>Ved hjælp af dataanalyseværktøjet:</t>
  </si>
  <si>
    <t>Styrkefunktion for ensidig test:</t>
  </si>
  <si>
    <t>Styrkefunktioner for ensidig test:</t>
  </si>
  <si>
    <t>Data fra tabel 4.1</t>
  </si>
  <si>
    <t>Konfidensinterval og tests</t>
  </si>
  <si>
    <t>Konf.interval:</t>
  </si>
  <si>
    <t>gns.</t>
  </si>
  <si>
    <t>Signifikanssandsynlighed for tosidig t-test</t>
  </si>
  <si>
    <t>Signifikanssandsynlighed for ensidig t-test</t>
  </si>
  <si>
    <t>t-test for sammenligning af to forventningsværdier</t>
  </si>
  <si>
    <r>
      <t xml:space="preserve">Signifikansniveau  </t>
    </r>
    <r>
      <rPr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 </t>
    </r>
  </si>
  <si>
    <t>Gns.:</t>
  </si>
  <si>
    <t>t-Test: To udvalg med antaget ens varians</t>
  </si>
  <si>
    <r>
      <t xml:space="preserve">Antager at </t>
    </r>
    <r>
      <rPr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og </t>
    </r>
    <r>
      <rPr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er forskellige</t>
    </r>
  </si>
  <si>
    <t>F-test på 5 % sign.niveau:</t>
  </si>
  <si>
    <t>Gns.</t>
  </si>
  <si>
    <t>Blodtryk før</t>
  </si>
  <si>
    <t>Blodtryk efter</t>
  </si>
  <si>
    <t>Standardafvigelse</t>
  </si>
  <si>
    <t>Signifikanssandsynlighed:</t>
  </si>
  <si>
    <t>Ved hjælp af dataanalysevæktøjet</t>
  </si>
  <si>
    <t>T-Test: Gennemsnit for to parvise udvalg</t>
  </si>
  <si>
    <t>Kapitel 4.5</t>
  </si>
  <si>
    <t>1. Kvinder</t>
  </si>
  <si>
    <t>2. Mænd</t>
  </si>
  <si>
    <t>2. Middel</t>
  </si>
  <si>
    <r>
      <t>Hver celle indeholder (</t>
    </r>
    <r>
      <rPr>
        <i/>
        <sz val="11"/>
        <color indexed="8"/>
        <rFont val="Calibri"/>
        <family val="2"/>
      </rPr>
      <t>X</t>
    </r>
    <r>
      <rPr>
        <i/>
        <vertAlign val="subscript"/>
        <sz val="11"/>
        <color indexed="8"/>
        <rFont val="Calibri"/>
        <family val="2"/>
      </rPr>
      <t>ij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indexed="8"/>
        <rFont val="Arial"/>
        <family val="2"/>
      </rPr>
      <t xml:space="preserve">─  </t>
    </r>
    <r>
      <rPr>
        <i/>
        <sz val="11"/>
        <color indexed="8"/>
        <rFont val="Arial"/>
        <family val="2"/>
      </rPr>
      <t>E</t>
    </r>
    <r>
      <rPr>
        <i/>
        <vertAlign val="subscript"/>
        <sz val="11"/>
        <color indexed="8"/>
        <rFont val="Arial"/>
        <family val="2"/>
      </rPr>
      <t>ij</t>
    </r>
    <r>
      <rPr>
        <sz val="11"/>
        <color indexed="8"/>
        <rFont val="Arial"/>
        <family val="2"/>
      </rPr>
      <t>)</t>
    </r>
    <r>
      <rPr>
        <vertAlign val="super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/ </t>
    </r>
    <r>
      <rPr>
        <i/>
        <sz val="11"/>
        <color indexed="8"/>
        <rFont val="Arial"/>
        <family val="2"/>
      </rPr>
      <t>E</t>
    </r>
    <r>
      <rPr>
        <i/>
        <vertAlign val="subscript"/>
        <sz val="11"/>
        <color indexed="8"/>
        <rFont val="Arial"/>
        <family val="2"/>
      </rPr>
      <t>ij</t>
    </r>
  </si>
  <si>
    <t>Kapitel 4.7</t>
  </si>
  <si>
    <t>Observation</t>
  </si>
  <si>
    <r>
      <t xml:space="preserve">Beregning af </t>
    </r>
    <r>
      <rPr>
        <i/>
        <sz val="11"/>
        <color indexed="8"/>
        <rFont val="Calibri"/>
        <family val="2"/>
      </rPr>
      <t>SS</t>
    </r>
    <r>
      <rPr>
        <i/>
        <vertAlign val="subscript"/>
        <sz val="11"/>
        <color indexed="8"/>
        <rFont val="Calibri"/>
        <family val="2"/>
      </rPr>
      <t>E</t>
    </r>
  </si>
  <si>
    <r>
      <t xml:space="preserve">Beregning af </t>
    </r>
    <r>
      <rPr>
        <i/>
        <sz val="11"/>
        <color indexed="8"/>
        <rFont val="Calibri"/>
        <family val="2"/>
      </rPr>
      <t>SS</t>
    </r>
    <r>
      <rPr>
        <i/>
        <vertAlign val="subscript"/>
        <sz val="11"/>
        <color indexed="8"/>
        <rFont val="Calibri"/>
        <family val="2"/>
      </rPr>
      <t>T</t>
    </r>
  </si>
  <si>
    <t>Antal</t>
  </si>
  <si>
    <t>Variationskilde</t>
  </si>
  <si>
    <t>Mellem grupper</t>
  </si>
  <si>
    <t>Indenfor grupper</t>
  </si>
  <si>
    <t>Eksempel tovejs ANOVA - Hvordan påvirkes målingerne af instrument og laborant?</t>
  </si>
  <si>
    <t>Række 1</t>
  </si>
  <si>
    <t>Række 2</t>
  </si>
  <si>
    <t>Række 3</t>
  </si>
  <si>
    <t>Række 4</t>
  </si>
  <si>
    <t>Rækker</t>
  </si>
  <si>
    <t>Fejl</t>
  </si>
  <si>
    <t>Udvalg</t>
  </si>
  <si>
    <t>Interaktion</t>
  </si>
  <si>
    <t>Indenfor</t>
  </si>
  <si>
    <t>P-værdi</t>
  </si>
  <si>
    <t>Kapitel 4.1,  Z-test for sammenligning af to forventningsværdier</t>
  </si>
  <si>
    <t>Kapitel 4.3, konfidensinterval og t-tester</t>
  </si>
  <si>
    <t>Kapitel 4.3, t-test for sammenligning af to forventningsværdier (lige varianser)</t>
  </si>
  <si>
    <t>Kapitel 4.3, t-test for sammenligning af to forventningsværdier (ulige varianser)</t>
  </si>
  <si>
    <t>Kapitel 4.4, chi-kvadrattest</t>
  </si>
  <si>
    <t>Kapitel 4.5, chi-kvadrattest for kategoriske krydstabeller</t>
  </si>
  <si>
    <t>Kapitel 4.7, envejs ANOVA</t>
  </si>
  <si>
    <t>Kapitel 4.8, tovejs ANOVA med additive faktorer</t>
  </si>
  <si>
    <t>Kapitel 4.9, tovejs ANOVA med interaktion</t>
  </si>
  <si>
    <r>
      <t xml:space="preserve">Signifikansniveau  </t>
    </r>
    <r>
      <rPr>
        <sz val="11"/>
        <color indexed="8"/>
        <rFont val="Symbol"/>
        <family val="1"/>
        <charset val="2"/>
      </rPr>
      <t>a</t>
    </r>
    <r>
      <rPr>
        <sz val="11"/>
        <color indexed="8"/>
        <rFont val="Calibri"/>
        <family val="2"/>
      </rPr>
      <t xml:space="preserve"> = </t>
    </r>
  </si>
  <si>
    <t>Gennemsnit:</t>
  </si>
  <si>
    <t>Afrundet:</t>
  </si>
  <si>
    <t>t-Test: To udvalg med antagede ulige varianser</t>
  </si>
  <si>
    <t xml:space="preserve">Patient </t>
  </si>
  <si>
    <t>Pearson-korrelation</t>
  </si>
  <si>
    <r>
      <t xml:space="preserve">Resultat fra matematikprøve, </t>
    </r>
    <r>
      <rPr>
        <i/>
        <sz val="11"/>
        <color indexed="8"/>
        <rFont val="Calibri"/>
        <family val="2"/>
      </rPr>
      <t>X</t>
    </r>
    <r>
      <rPr>
        <i/>
        <vertAlign val="subscript"/>
        <sz val="11"/>
        <color indexed="8"/>
        <rFont val="Calibri"/>
        <family val="2"/>
      </rPr>
      <t>ij</t>
    </r>
    <r>
      <rPr>
        <sz val="11"/>
        <color theme="1"/>
        <rFont val="Calibri"/>
        <family val="2"/>
        <scheme val="minor"/>
      </rPr>
      <t>:</t>
    </r>
  </si>
  <si>
    <r>
      <t xml:space="preserve">Forventede værdier (ved sandt </t>
    </r>
    <r>
      <rPr>
        <i/>
        <sz val="11"/>
        <color indexed="8"/>
        <rFont val="Calibri"/>
        <family val="2"/>
      </rPr>
      <t>H</t>
    </r>
    <r>
      <rPr>
        <vertAlign val="subscript"/>
        <sz val="11"/>
        <color indexed="8"/>
        <rFont val="Calibri"/>
        <family val="2"/>
      </rPr>
      <t>0</t>
    </r>
    <r>
      <rPr>
        <sz val="11"/>
        <color theme="1"/>
        <rFont val="Calibri"/>
        <family val="2"/>
        <scheme val="minor"/>
      </rPr>
      <t xml:space="preserve">), </t>
    </r>
    <r>
      <rPr>
        <i/>
        <sz val="11"/>
        <color indexed="8"/>
        <rFont val="Calibri"/>
        <family val="2"/>
      </rPr>
      <t>E</t>
    </r>
    <r>
      <rPr>
        <i/>
        <vertAlign val="subscript"/>
        <sz val="11"/>
        <color indexed="8"/>
        <rFont val="Calibri"/>
        <family val="2"/>
      </rPr>
      <t>ij</t>
    </r>
    <r>
      <rPr>
        <sz val="11"/>
        <color theme="1"/>
        <rFont val="Calibri"/>
        <family val="2"/>
        <scheme val="minor"/>
      </rPr>
      <t>:</t>
    </r>
  </si>
  <si>
    <r>
      <t xml:space="preserve">Beregning af testobservatoren </t>
    </r>
    <r>
      <rPr>
        <i/>
        <sz val="11"/>
        <color indexed="8"/>
        <rFont val="Calibri"/>
        <family val="2"/>
      </rPr>
      <t>Q</t>
    </r>
    <r>
      <rPr>
        <sz val="11"/>
        <color theme="1"/>
        <rFont val="Calibri"/>
        <family val="2"/>
        <scheme val="minor"/>
      </rPr>
      <t>:</t>
    </r>
  </si>
  <si>
    <t>Signifikanssandsynlighed for chi-i-anden-testen:</t>
  </si>
  <si>
    <t>F-test ved hjælp af dataanalyseværktøjet:</t>
  </si>
  <si>
    <t>Tot. gns:</t>
  </si>
  <si>
    <t xml:space="preserve">Eksempel tovejs ANOVA med interaktion </t>
  </si>
  <si>
    <t>Variansanalyse: To-faktor uden tilbagelægning</t>
  </si>
  <si>
    <t>Variansanalyse: To-faktor med tilbagelægning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</si>
</sst>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0.000"/>
    <numFmt numFmtId="166" formatCode="0.000000"/>
    <numFmt numFmtId="167" formatCode="0.0000"/>
    <numFmt numFmtId="168" formatCode="#,##0.0"/>
    <numFmt numFmtId="169" formatCode="0.00000"/>
    <numFmt numFmtId="170" formatCode="0.0000000"/>
    <numFmt numFmtId="171" formatCode="#,##0.000"/>
    <numFmt numFmtId="172" formatCode="#,##0.0000"/>
    <numFmt numFmtId="173" formatCode="0.0\ %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Symbol"/>
      <family val="1"/>
      <charset val="2"/>
    </font>
    <font>
      <vertAlign val="subscript"/>
      <sz val="11"/>
      <color indexed="8"/>
      <name val="Symbol"/>
      <family val="1"/>
      <charset val="2"/>
    </font>
    <font>
      <i/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i/>
      <sz val="11"/>
      <color indexed="8"/>
      <name val="Symbol"/>
      <family val="1"/>
      <charset val="2"/>
    </font>
    <font>
      <vertAlign val="superscript"/>
      <sz val="11"/>
      <color indexed="8"/>
      <name val="Calibri"/>
      <family val="2"/>
    </font>
    <font>
      <i/>
      <vertAlign val="subscript"/>
      <sz val="11"/>
      <color indexed="8"/>
      <name val="Calibri"/>
      <family val="2"/>
    </font>
    <font>
      <i/>
      <vertAlign val="superscript"/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vertAlign val="subscript"/>
      <sz val="10"/>
      <name val="Symbol"/>
      <family val="1"/>
      <charset val="2"/>
    </font>
    <font>
      <b/>
      <sz val="10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i/>
      <vertAlign val="subscript"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Arial"/>
      <family val="2"/>
    </font>
    <font>
      <u/>
      <sz val="10"/>
      <name val="Arial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18"/>
      </bottom>
      <diagonal/>
    </border>
  </borders>
  <cellStyleXfs count="7">
    <xf numFmtId="0" fontId="0" fillId="0" borderId="0"/>
    <xf numFmtId="0" fontId="12" fillId="0" borderId="0"/>
    <xf numFmtId="0" fontId="1" fillId="0" borderId="0"/>
    <xf numFmtId="9" fontId="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3" fillId="0" borderId="0" xfId="0" applyFont="1"/>
    <xf numFmtId="164" fontId="0" fillId="0" borderId="0" xfId="0" applyNumberFormat="1"/>
    <xf numFmtId="0" fontId="4" fillId="0" borderId="0" xfId="0" applyFont="1"/>
    <xf numFmtId="164" fontId="0" fillId="0" borderId="1" xfId="0" applyNumberFormat="1" applyBorder="1"/>
    <xf numFmtId="165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2" fontId="0" fillId="0" borderId="0" xfId="0" applyNumberFormat="1"/>
    <xf numFmtId="167" fontId="0" fillId="0" borderId="0" xfId="0" applyNumberFormat="1"/>
    <xf numFmtId="0" fontId="4" fillId="0" borderId="0" xfId="0" applyFont="1" applyAlignment="1">
      <alignment horizontal="center"/>
    </xf>
    <xf numFmtId="9" fontId="1" fillId="0" borderId="0" xfId="3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0" xfId="0" applyFill="1" applyBorder="1" applyAlignment="1"/>
    <xf numFmtId="165" fontId="0" fillId="0" borderId="0" xfId="0" applyNumberFormat="1" applyFill="1" applyBorder="1" applyAlignment="1"/>
    <xf numFmtId="167" fontId="0" fillId="0" borderId="0" xfId="0" applyNumberFormat="1" applyFill="1" applyBorder="1" applyAlignment="1"/>
    <xf numFmtId="0" fontId="0" fillId="0" borderId="3" xfId="0" applyFill="1" applyBorder="1" applyAlignment="1"/>
    <xf numFmtId="165" fontId="0" fillId="0" borderId="3" xfId="0" applyNumberFormat="1" applyFill="1" applyBorder="1" applyAlignment="1"/>
    <xf numFmtId="10" fontId="1" fillId="0" borderId="0" xfId="3" applyNumberFormat="1" applyFont="1"/>
    <xf numFmtId="167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Font="1"/>
    <xf numFmtId="0" fontId="0" fillId="0" borderId="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0" xfId="0" applyFont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6" fillId="0" borderId="0" xfId="0" applyFont="1" applyAlignment="1">
      <alignment horizontal="right"/>
    </xf>
    <xf numFmtId="166" fontId="0" fillId="0" borderId="0" xfId="0" applyNumberFormat="1"/>
    <xf numFmtId="11" fontId="0" fillId="0" borderId="0" xfId="0" applyNumberFormat="1"/>
    <xf numFmtId="169" fontId="0" fillId="0" borderId="0" xfId="0" applyNumberFormat="1" applyFont="1" applyFill="1" applyBorder="1" applyAlignment="1">
      <alignment horizontal="center"/>
    </xf>
    <xf numFmtId="170" fontId="0" fillId="0" borderId="0" xfId="0" applyNumberFormat="1"/>
    <xf numFmtId="169" fontId="0" fillId="0" borderId="0" xfId="0" applyNumberFormat="1" applyFill="1" applyBorder="1" applyAlignment="1"/>
    <xf numFmtId="0" fontId="1" fillId="0" borderId="0" xfId="2"/>
    <xf numFmtId="0" fontId="4" fillId="0" borderId="0" xfId="2" applyFont="1"/>
    <xf numFmtId="164" fontId="1" fillId="0" borderId="0" xfId="2" applyNumberFormat="1"/>
    <xf numFmtId="0" fontId="6" fillId="0" borderId="0" xfId="2" applyFont="1"/>
    <xf numFmtId="165" fontId="1" fillId="0" borderId="0" xfId="2" applyNumberFormat="1"/>
    <xf numFmtId="0" fontId="1" fillId="0" borderId="0" xfId="2" applyFont="1"/>
    <xf numFmtId="0" fontId="6" fillId="0" borderId="0" xfId="2" applyFont="1" applyAlignment="1">
      <alignment horizontal="center"/>
    </xf>
    <xf numFmtId="0" fontId="1" fillId="0" borderId="0" xfId="2" applyAlignment="1">
      <alignment horizontal="center"/>
    </xf>
    <xf numFmtId="166" fontId="1" fillId="0" borderId="0" xfId="2" applyNumberFormat="1"/>
    <xf numFmtId="0" fontId="12" fillId="0" borderId="0" xfId="1"/>
    <xf numFmtId="0" fontId="17" fillId="0" borderId="0" xfId="1" applyFont="1"/>
    <xf numFmtId="0" fontId="14" fillId="0" borderId="0" xfId="1" applyFont="1"/>
    <xf numFmtId="164" fontId="12" fillId="0" borderId="0" xfId="1" applyNumberFormat="1"/>
    <xf numFmtId="167" fontId="12" fillId="0" borderId="0" xfId="1" applyNumberFormat="1"/>
    <xf numFmtId="0" fontId="17" fillId="0" borderId="0" xfId="1" applyFont="1" applyAlignment="1">
      <alignment horizontal="center"/>
    </xf>
    <xf numFmtId="165" fontId="12" fillId="0" borderId="0" xfId="1" applyNumberFormat="1"/>
    <xf numFmtId="0" fontId="12" fillId="0" borderId="0" xfId="1" applyAlignment="1">
      <alignment horizontal="center"/>
    </xf>
    <xf numFmtId="2" fontId="12" fillId="0" borderId="0" xfId="1" applyNumberFormat="1"/>
    <xf numFmtId="169" fontId="12" fillId="0" borderId="0" xfId="1" applyNumberFormat="1"/>
    <xf numFmtId="0" fontId="19" fillId="0" borderId="0" xfId="1" applyFont="1"/>
    <xf numFmtId="167" fontId="12" fillId="0" borderId="0" xfId="1" applyNumberFormat="1" applyAlignment="1">
      <alignment horizontal="center"/>
    </xf>
    <xf numFmtId="10" fontId="12" fillId="0" borderId="0" xfId="3" applyNumberFormat="1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1" fillId="0" borderId="0" xfId="3" applyNumberFormat="1" applyFont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171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168" fontId="0" fillId="0" borderId="11" xfId="0" applyNumberFormat="1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168" fontId="0" fillId="0" borderId="13" xfId="0" applyNumberFormat="1" applyBorder="1" applyAlignment="1">
      <alignment horizontal="center"/>
    </xf>
    <xf numFmtId="168" fontId="1" fillId="0" borderId="1" xfId="3" applyNumberFormat="1" applyFont="1" applyBorder="1" applyAlignment="1">
      <alignment horizontal="center"/>
    </xf>
    <xf numFmtId="10" fontId="24" fillId="0" borderId="0" xfId="3" applyNumberFormat="1" applyFont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12" fillId="0" borderId="0" xfId="4"/>
    <xf numFmtId="0" fontId="12" fillId="0" borderId="0" xfId="4" applyBorder="1"/>
    <xf numFmtId="0" fontId="17" fillId="0" borderId="0" xfId="4" applyFont="1"/>
    <xf numFmtId="0" fontId="19" fillId="0" borderId="0" xfId="4" applyFont="1"/>
    <xf numFmtId="2" fontId="12" fillId="0" borderId="0" xfId="4" applyNumberFormat="1"/>
    <xf numFmtId="0" fontId="14" fillId="0" borderId="0" xfId="4" applyFont="1"/>
    <xf numFmtId="0" fontId="17" fillId="0" borderId="2" xfId="4" applyFont="1" applyFill="1" applyBorder="1" applyAlignment="1">
      <alignment horizontal="center"/>
    </xf>
    <xf numFmtId="0" fontId="17" fillId="0" borderId="0" xfId="4" applyFont="1" applyFill="1" applyBorder="1" applyAlignment="1">
      <alignment horizontal="center"/>
    </xf>
    <xf numFmtId="0" fontId="12" fillId="0" borderId="0" xfId="4" applyFill="1" applyBorder="1" applyAlignment="1"/>
    <xf numFmtId="0" fontId="27" fillId="0" borderId="0" xfId="4" applyFont="1" applyFill="1" applyBorder="1" applyAlignment="1">
      <alignment horizontal="right"/>
    </xf>
    <xf numFmtId="0" fontId="12" fillId="0" borderId="3" xfId="4" applyFill="1" applyBorder="1" applyAlignment="1"/>
    <xf numFmtId="0" fontId="28" fillId="0" borderId="0" xfId="4" applyFont="1"/>
    <xf numFmtId="0" fontId="27" fillId="0" borderId="15" xfId="4" applyFont="1" applyFill="1" applyBorder="1" applyAlignment="1">
      <alignment horizontal="right"/>
    </xf>
    <xf numFmtId="167" fontId="19" fillId="0" borderId="0" xfId="1" applyNumberFormat="1" applyFont="1"/>
    <xf numFmtId="165" fontId="25" fillId="0" borderId="0" xfId="0" applyNumberFormat="1" applyFont="1" applyAlignment="1">
      <alignment horizontal="center"/>
    </xf>
    <xf numFmtId="0" fontId="29" fillId="0" borderId="0" xfId="6" applyAlignment="1" applyProtection="1"/>
    <xf numFmtId="173" fontId="12" fillId="0" borderId="0" xfId="3" applyNumberFormat="1" applyFont="1"/>
    <xf numFmtId="0" fontId="3" fillId="0" borderId="0" xfId="0" applyFont="1" applyAlignment="1">
      <alignment horizontal="left"/>
    </xf>
  </cellXfs>
  <cellStyles count="7">
    <cellStyle name="Link" xfId="6" builtinId="8"/>
    <cellStyle name="Normal" xfId="0" builtinId="0"/>
    <cellStyle name="Normal 2" xfId="4"/>
    <cellStyle name="Normal_Kap4_gammel" xfId="1"/>
    <cellStyle name="Normal_Kladd_fig43" xfId="2"/>
    <cellStyle name="Procent" xfId="3" builtinId="5"/>
    <cellStyle name="Pros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'Kap 4.2 - fig 4.4'!$D$6:$D$26</c:f>
              <c:numCache>
                <c:formatCode>General</c:formatCode>
                <c:ptCount val="21"/>
                <c:pt idx="0" formatCode="0.0">
                  <c:v>120</c:v>
                </c:pt>
                <c:pt idx="1">
                  <c:v>120.5</c:v>
                </c:pt>
                <c:pt idx="2" formatCode="0.0">
                  <c:v>121</c:v>
                </c:pt>
                <c:pt idx="3">
                  <c:v>121.5</c:v>
                </c:pt>
                <c:pt idx="4" formatCode="0.0">
                  <c:v>122</c:v>
                </c:pt>
                <c:pt idx="5">
                  <c:v>122.5</c:v>
                </c:pt>
                <c:pt idx="6" formatCode="0.0">
                  <c:v>123</c:v>
                </c:pt>
                <c:pt idx="7">
                  <c:v>123.5</c:v>
                </c:pt>
                <c:pt idx="8" formatCode="0.0">
                  <c:v>124</c:v>
                </c:pt>
                <c:pt idx="9">
                  <c:v>124.5</c:v>
                </c:pt>
                <c:pt idx="10" formatCode="0.0">
                  <c:v>125</c:v>
                </c:pt>
                <c:pt idx="11">
                  <c:v>125.5</c:v>
                </c:pt>
                <c:pt idx="12" formatCode="0.0">
                  <c:v>126</c:v>
                </c:pt>
                <c:pt idx="13">
                  <c:v>126.5</c:v>
                </c:pt>
                <c:pt idx="14" formatCode="0.0">
                  <c:v>127</c:v>
                </c:pt>
                <c:pt idx="15">
                  <c:v>127.5</c:v>
                </c:pt>
                <c:pt idx="16" formatCode="0.0">
                  <c:v>128</c:v>
                </c:pt>
                <c:pt idx="17">
                  <c:v>128.5</c:v>
                </c:pt>
                <c:pt idx="18" formatCode="0.0">
                  <c:v>129</c:v>
                </c:pt>
                <c:pt idx="19">
                  <c:v>129.5</c:v>
                </c:pt>
                <c:pt idx="20" formatCode="0.0">
                  <c:v>130</c:v>
                </c:pt>
              </c:numCache>
            </c:numRef>
          </c:xVal>
          <c:yVal>
            <c:numRef>
              <c:f>'Kap 4.2 - fig 4.4'!$F$6:$F$26</c:f>
              <c:numCache>
                <c:formatCode>General</c:formatCode>
                <c:ptCount val="21"/>
                <c:pt idx="0">
                  <c:v>6.4914402698956764E-5</c:v>
                </c:pt>
                <c:pt idx="1">
                  <c:v>3.0998712301133491E-4</c:v>
                </c:pt>
                <c:pt idx="2">
                  <c:v>1.2694719157285705E-3</c:v>
                </c:pt>
                <c:pt idx="3">
                  <c:v>4.4665993803063575E-3</c:v>
                </c:pt>
                <c:pt idx="4">
                  <c:v>1.3533886677841056E-2</c:v>
                </c:pt>
                <c:pt idx="5">
                  <c:v>3.5421851110444269E-2</c:v>
                </c:pt>
                <c:pt idx="6">
                  <c:v>8.0395377468443718E-2</c:v>
                </c:pt>
                <c:pt idx="7">
                  <c:v>0.15905338117247836</c:v>
                </c:pt>
                <c:pt idx="8">
                  <c:v>0.27615741760818002</c:v>
                </c:pt>
                <c:pt idx="9">
                  <c:v>0.42456289928284541</c:v>
                </c:pt>
                <c:pt idx="10">
                  <c:v>0.58465903699807042</c:v>
                </c:pt>
                <c:pt idx="11">
                  <c:v>0.73167543915015898</c:v>
                </c:pt>
                <c:pt idx="12">
                  <c:v>0.84659750187847571</c:v>
                </c:pt>
                <c:pt idx="13">
                  <c:v>0.92306728788471537</c:v>
                </c:pt>
                <c:pt idx="14">
                  <c:v>0.96638034808251072</c:v>
                </c:pt>
                <c:pt idx="15">
                  <c:v>0.98726281022228424</c:v>
                </c:pt>
                <c:pt idx="16">
                  <c:v>0.99583254546989686</c:v>
                </c:pt>
                <c:pt idx="17">
                  <c:v>0.99882593239563189</c:v>
                </c:pt>
                <c:pt idx="18">
                  <c:v>0.99971585644886596</c:v>
                </c:pt>
                <c:pt idx="19">
                  <c:v>0.99994103173744897</c:v>
                </c:pt>
                <c:pt idx="20">
                  <c:v>0.99998952122824125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579200"/>
        <c:axId val="144748928"/>
      </c:scatterChart>
      <c:valAx>
        <c:axId val="144579200"/>
        <c:scaling>
          <c:orientation val="minMax"/>
          <c:max val="130"/>
          <c:min val="120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144748928"/>
        <c:crosses val="autoZero"/>
        <c:crossBetween val="midCat"/>
      </c:valAx>
      <c:valAx>
        <c:axId val="144748928"/>
        <c:scaling>
          <c:orientation val="minMax"/>
          <c:max val="1"/>
        </c:scaling>
        <c:delete val="0"/>
        <c:axPos val="l"/>
        <c:numFmt formatCode="General" sourceLinked="1"/>
        <c:majorTickMark val="out"/>
        <c:minorTickMark val="none"/>
        <c:tickLblPos val="nextTo"/>
        <c:crossAx val="144579200"/>
        <c:crosses val="autoZero"/>
        <c:crossBetween val="midCat"/>
        <c:majorUnit val="0.2"/>
      </c:valAx>
    </c:plotArea>
    <c:plotVisOnly val="1"/>
    <c:dispBlanksAs val="gap"/>
    <c:showDLblsOverMax val="0"/>
  </c:chart>
  <c:printSettings>
    <c:headerFooter alignWithMargins="0"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'Kap 4.2 - fig 4.5'!$D$6:$D$106</c:f>
              <c:numCache>
                <c:formatCode>General</c:formatCode>
                <c:ptCount val="101"/>
                <c:pt idx="0" formatCode="0.0">
                  <c:v>120</c:v>
                </c:pt>
                <c:pt idx="1">
                  <c:v>120.1</c:v>
                </c:pt>
                <c:pt idx="2" formatCode="0.0">
                  <c:v>120.2</c:v>
                </c:pt>
                <c:pt idx="3">
                  <c:v>120.3</c:v>
                </c:pt>
                <c:pt idx="4" formatCode="0.0">
                  <c:v>120.4</c:v>
                </c:pt>
                <c:pt idx="5">
                  <c:v>120.5</c:v>
                </c:pt>
                <c:pt idx="6" formatCode="0.0">
                  <c:v>120.6</c:v>
                </c:pt>
                <c:pt idx="7">
                  <c:v>120.7</c:v>
                </c:pt>
                <c:pt idx="8" formatCode="0.0">
                  <c:v>120.8</c:v>
                </c:pt>
                <c:pt idx="9">
                  <c:v>120.9</c:v>
                </c:pt>
                <c:pt idx="10" formatCode="0.0">
                  <c:v>121</c:v>
                </c:pt>
                <c:pt idx="11">
                  <c:v>121.1</c:v>
                </c:pt>
                <c:pt idx="12" formatCode="0.0">
                  <c:v>121.2</c:v>
                </c:pt>
                <c:pt idx="13">
                  <c:v>121.3</c:v>
                </c:pt>
                <c:pt idx="14" formatCode="0.0">
                  <c:v>121.4</c:v>
                </c:pt>
                <c:pt idx="15">
                  <c:v>121.5</c:v>
                </c:pt>
                <c:pt idx="16" formatCode="0.0">
                  <c:v>121.6</c:v>
                </c:pt>
                <c:pt idx="17">
                  <c:v>121.7</c:v>
                </c:pt>
                <c:pt idx="18" formatCode="0.0">
                  <c:v>121.8</c:v>
                </c:pt>
                <c:pt idx="19">
                  <c:v>121.9</c:v>
                </c:pt>
                <c:pt idx="20" formatCode="0.0">
                  <c:v>122</c:v>
                </c:pt>
                <c:pt idx="21">
                  <c:v>122.1</c:v>
                </c:pt>
                <c:pt idx="22" formatCode="0.0">
                  <c:v>122.2</c:v>
                </c:pt>
                <c:pt idx="23">
                  <c:v>122.3</c:v>
                </c:pt>
                <c:pt idx="24" formatCode="0.0">
                  <c:v>122.4</c:v>
                </c:pt>
                <c:pt idx="25">
                  <c:v>122.5</c:v>
                </c:pt>
                <c:pt idx="26" formatCode="0.0">
                  <c:v>122.6</c:v>
                </c:pt>
                <c:pt idx="27">
                  <c:v>122.69</c:v>
                </c:pt>
                <c:pt idx="28" formatCode="0.0">
                  <c:v>122.7</c:v>
                </c:pt>
                <c:pt idx="29">
                  <c:v>122.8</c:v>
                </c:pt>
                <c:pt idx="30" formatCode="0.0">
                  <c:v>122.9</c:v>
                </c:pt>
                <c:pt idx="31">
                  <c:v>123</c:v>
                </c:pt>
                <c:pt idx="32" formatCode="0.0">
                  <c:v>123.1</c:v>
                </c:pt>
                <c:pt idx="33">
                  <c:v>123.2</c:v>
                </c:pt>
                <c:pt idx="34" formatCode="0.0">
                  <c:v>123.3</c:v>
                </c:pt>
                <c:pt idx="35">
                  <c:v>123.4</c:v>
                </c:pt>
                <c:pt idx="36" formatCode="0.0">
                  <c:v>123.5</c:v>
                </c:pt>
                <c:pt idx="37">
                  <c:v>123.6</c:v>
                </c:pt>
                <c:pt idx="38" formatCode="0.0">
                  <c:v>123.7</c:v>
                </c:pt>
                <c:pt idx="39">
                  <c:v>123.8</c:v>
                </c:pt>
                <c:pt idx="40" formatCode="0.0">
                  <c:v>123.9</c:v>
                </c:pt>
                <c:pt idx="41">
                  <c:v>124</c:v>
                </c:pt>
                <c:pt idx="42" formatCode="0.0">
                  <c:v>124.1</c:v>
                </c:pt>
                <c:pt idx="43">
                  <c:v>124.2</c:v>
                </c:pt>
                <c:pt idx="44" formatCode="0.0">
                  <c:v>124.3</c:v>
                </c:pt>
                <c:pt idx="45">
                  <c:v>124.4</c:v>
                </c:pt>
                <c:pt idx="46" formatCode="0.0">
                  <c:v>124.5</c:v>
                </c:pt>
                <c:pt idx="47">
                  <c:v>124.6</c:v>
                </c:pt>
                <c:pt idx="48" formatCode="0.0">
                  <c:v>124.7</c:v>
                </c:pt>
                <c:pt idx="49">
                  <c:v>124.8</c:v>
                </c:pt>
                <c:pt idx="50" formatCode="0.0">
                  <c:v>124.9</c:v>
                </c:pt>
                <c:pt idx="51">
                  <c:v>125</c:v>
                </c:pt>
                <c:pt idx="52" formatCode="0.0">
                  <c:v>125.1</c:v>
                </c:pt>
                <c:pt idx="53">
                  <c:v>125.2</c:v>
                </c:pt>
                <c:pt idx="54" formatCode="0.0">
                  <c:v>125.3</c:v>
                </c:pt>
                <c:pt idx="55">
                  <c:v>125.4</c:v>
                </c:pt>
                <c:pt idx="56" formatCode="0.0">
                  <c:v>125.5</c:v>
                </c:pt>
                <c:pt idx="57">
                  <c:v>125.6</c:v>
                </c:pt>
                <c:pt idx="58" formatCode="0.0">
                  <c:v>125.7</c:v>
                </c:pt>
                <c:pt idx="59">
                  <c:v>125.8</c:v>
                </c:pt>
                <c:pt idx="60" formatCode="0.0">
                  <c:v>125.9</c:v>
                </c:pt>
                <c:pt idx="61">
                  <c:v>126</c:v>
                </c:pt>
                <c:pt idx="62" formatCode="0.0">
                  <c:v>126.1</c:v>
                </c:pt>
                <c:pt idx="63">
                  <c:v>126.2</c:v>
                </c:pt>
                <c:pt idx="64" formatCode="0.0">
                  <c:v>126.3</c:v>
                </c:pt>
                <c:pt idx="65">
                  <c:v>126.4</c:v>
                </c:pt>
                <c:pt idx="66" formatCode="0.0">
                  <c:v>126.5</c:v>
                </c:pt>
                <c:pt idx="67">
                  <c:v>126.6</c:v>
                </c:pt>
                <c:pt idx="68" formatCode="0.0">
                  <c:v>126.7</c:v>
                </c:pt>
                <c:pt idx="69">
                  <c:v>126.8</c:v>
                </c:pt>
                <c:pt idx="70" formatCode="0.0">
                  <c:v>126.9</c:v>
                </c:pt>
                <c:pt idx="71">
                  <c:v>127</c:v>
                </c:pt>
                <c:pt idx="72" formatCode="0.0">
                  <c:v>127.1</c:v>
                </c:pt>
                <c:pt idx="73">
                  <c:v>127.2</c:v>
                </c:pt>
                <c:pt idx="74" formatCode="0.0">
                  <c:v>127.3</c:v>
                </c:pt>
                <c:pt idx="75">
                  <c:v>127.4</c:v>
                </c:pt>
                <c:pt idx="76" formatCode="0.0">
                  <c:v>127.5</c:v>
                </c:pt>
                <c:pt idx="77">
                  <c:v>127.6</c:v>
                </c:pt>
                <c:pt idx="78" formatCode="0.0">
                  <c:v>127.7</c:v>
                </c:pt>
                <c:pt idx="79">
                  <c:v>127.8</c:v>
                </c:pt>
                <c:pt idx="80" formatCode="0.0">
                  <c:v>127.9</c:v>
                </c:pt>
                <c:pt idx="81">
                  <c:v>128</c:v>
                </c:pt>
                <c:pt idx="82" formatCode="0.0">
                  <c:v>128.1</c:v>
                </c:pt>
                <c:pt idx="83">
                  <c:v>128.19999999999999</c:v>
                </c:pt>
                <c:pt idx="84" formatCode="0.0">
                  <c:v>128.30000000000001</c:v>
                </c:pt>
                <c:pt idx="85">
                  <c:v>128.4</c:v>
                </c:pt>
                <c:pt idx="86" formatCode="0.0">
                  <c:v>128.5</c:v>
                </c:pt>
                <c:pt idx="87">
                  <c:v>128.6</c:v>
                </c:pt>
                <c:pt idx="88" formatCode="0.0">
                  <c:v>128.69999999999999</c:v>
                </c:pt>
                <c:pt idx="89">
                  <c:v>128.80000000000001</c:v>
                </c:pt>
                <c:pt idx="90" formatCode="0.0">
                  <c:v>128.9</c:v>
                </c:pt>
                <c:pt idx="91">
                  <c:v>129</c:v>
                </c:pt>
                <c:pt idx="92" formatCode="0.0">
                  <c:v>129.1</c:v>
                </c:pt>
                <c:pt idx="93">
                  <c:v>129.19999999999999</c:v>
                </c:pt>
                <c:pt idx="94" formatCode="0.0">
                  <c:v>129.30000000000001</c:v>
                </c:pt>
                <c:pt idx="95">
                  <c:v>129.4</c:v>
                </c:pt>
                <c:pt idx="96" formatCode="0.0">
                  <c:v>129.5</c:v>
                </c:pt>
                <c:pt idx="97">
                  <c:v>129.6</c:v>
                </c:pt>
                <c:pt idx="98" formatCode="0.0">
                  <c:v>129.69999999999999</c:v>
                </c:pt>
                <c:pt idx="99">
                  <c:v>129.80000000000001</c:v>
                </c:pt>
                <c:pt idx="100" formatCode="0.0">
                  <c:v>129.9</c:v>
                </c:pt>
              </c:numCache>
            </c:numRef>
          </c:xVal>
          <c:yVal>
            <c:numRef>
              <c:f>'Kap 4.2 - fig 4.5'!$E$6:$E$106</c:f>
              <c:numCache>
                <c:formatCode>General</c:formatCode>
                <c:ptCount val="101"/>
                <c:pt idx="0">
                  <c:v>6.4914402698956764E-5</c:v>
                </c:pt>
                <c:pt idx="1">
                  <c:v>8.9848704149075864E-5</c:v>
                </c:pt>
                <c:pt idx="2">
                  <c:v>1.2359261998073912E-4</c:v>
                </c:pt>
                <c:pt idx="3">
                  <c:v>1.6896160672397187E-4</c:v>
                </c:pt>
                <c:pt idx="4">
                  <c:v>2.2956375344784785E-4</c:v>
                </c:pt>
                <c:pt idx="5">
                  <c:v>3.0998712301133491E-4</c:v>
                </c:pt>
                <c:pt idx="6">
                  <c:v>4.1602031855381139E-4</c:v>
                </c:pt>
                <c:pt idx="7">
                  <c:v>5.5490897075760603E-4</c:v>
                </c:pt>
                <c:pt idx="8">
                  <c:v>7.3565010599718761E-4</c:v>
                </c:pt>
                <c:pt idx="9">
                  <c:v>9.6932528130033724E-4</c:v>
                </c:pt>
                <c:pt idx="10">
                  <c:v>1.2694719157285705E-3</c:v>
                </c:pt>
                <c:pt idx="11">
                  <c:v>1.6524903779669975E-3</c:v>
                </c:pt>
                <c:pt idx="12">
                  <c:v>2.1380820932017652E-3</c:v>
                </c:pt>
                <c:pt idx="13">
                  <c:v>2.7497112197670814E-3</c:v>
                </c:pt>
                <c:pt idx="14">
                  <c:v>3.5150793592116925E-3</c:v>
                </c:pt>
                <c:pt idx="15">
                  <c:v>4.4665993803063575E-3</c:v>
                </c:pt>
                <c:pt idx="16">
                  <c:v>5.6418508765653241E-3</c:v>
                </c:pt>
                <c:pt idx="17">
                  <c:v>7.0839961992731348E-3</c:v>
                </c:pt>
                <c:pt idx="18">
                  <c:v>8.8421326170224912E-3</c:v>
                </c:pt>
                <c:pt idx="19">
                  <c:v>1.097155318944476E-2</c:v>
                </c:pt>
                <c:pt idx="20">
                  <c:v>1.3533886677841056E-2</c:v>
                </c:pt>
                <c:pt idx="21">
                  <c:v>1.6597085536641298E-2</c:v>
                </c:pt>
                <c:pt idx="22">
                  <c:v>2.023523102516156E-2</c:v>
                </c:pt>
                <c:pt idx="23">
                  <c:v>2.4528126017143048E-2</c:v>
                </c:pt>
                <c:pt idx="24">
                  <c:v>2.9560649390722893E-2</c:v>
                </c:pt>
                <c:pt idx="25">
                  <c:v>3.5421851110444269E-2</c:v>
                </c:pt>
                <c:pt idx="26">
                  <c:v>4.2203774330027644E-2</c:v>
                </c:pt>
                <c:pt idx="27">
                  <c:v>4.9172062046971443E-2</c:v>
                </c:pt>
                <c:pt idx="28">
                  <c:v>5.0000000000000044E-2</c:v>
                </c:pt>
                <c:pt idx="29">
                  <c:v>5.8903920377168184E-2</c:v>
                </c:pt>
                <c:pt idx="30">
                  <c:v>6.9006760181640869E-2</c:v>
                </c:pt>
                <c:pt idx="31">
                  <c:v>8.0395377468443718E-2</c:v>
                </c:pt>
                <c:pt idx="32">
                  <c:v>9.3149889980403522E-2</c:v>
                </c:pt>
                <c:pt idx="33">
                  <c:v>0.10734118612231658</c:v>
                </c:pt>
                <c:pt idx="34">
                  <c:v>0.12302839196272353</c:v>
                </c:pt>
                <c:pt idx="35">
                  <c:v>0.14025637601445395</c:v>
                </c:pt>
                <c:pt idx="36">
                  <c:v>0.15905338117247836</c:v>
                </c:pt>
                <c:pt idx="37">
                  <c:v>0.1794288773767222</c:v>
                </c:pt>
                <c:pt idx="38">
                  <c:v>0.20137172872924092</c:v>
                </c:pt>
                <c:pt idx="39">
                  <c:v>0.22484876452740776</c:v>
                </c:pt>
                <c:pt idx="40">
                  <c:v>0.24980383480638502</c:v>
                </c:pt>
                <c:pt idx="41">
                  <c:v>0.27615741760818002</c:v>
                </c:pt>
                <c:pt idx="42">
                  <c:v>0.30380682768451039</c:v>
                </c:pt>
                <c:pt idx="43">
                  <c:v>0.33262705534518444</c:v>
                </c:pt>
                <c:pt idx="44">
                  <c:v>0.362472240584919</c:v>
                </c:pt>
                <c:pt idx="45">
                  <c:v>0.39317776256854919</c:v>
                </c:pt>
                <c:pt idx="46">
                  <c:v>0.42456289928284541</c:v>
                </c:pt>
                <c:pt idx="47">
                  <c:v>0.45643398799882706</c:v>
                </c:pt>
                <c:pt idx="48">
                  <c:v>0.48858799544211373</c:v>
                </c:pt>
                <c:pt idx="49">
                  <c:v>0.52081638845185596</c:v>
                </c:pt>
                <c:pt idx="50">
                  <c:v>0.55290918244825449</c:v>
                </c:pt>
                <c:pt idx="51">
                  <c:v>0.58465903699807042</c:v>
                </c:pt>
                <c:pt idx="52">
                  <c:v>0.61586526563277422</c:v>
                </c:pt>
                <c:pt idx="53">
                  <c:v>0.6463376309583142</c:v>
                </c:pt>
                <c:pt idx="54">
                  <c:v>0.67589980577402453</c:v>
                </c:pt>
                <c:pt idx="55">
                  <c:v>0.7043923958307019</c:v>
                </c:pt>
                <c:pt idx="56">
                  <c:v>0.73167543915015898</c:v>
                </c:pt>
                <c:pt idx="57">
                  <c:v>0.7576303194122227</c:v>
                </c:pt>
                <c:pt idx="58">
                  <c:v>0.78216105554049176</c:v>
                </c:pt>
                <c:pt idx="59">
                  <c:v>0.80519495496153781</c:v>
                </c:pt>
                <c:pt idx="60">
                  <c:v>0.82668264275943382</c:v>
                </c:pt>
                <c:pt idx="61">
                  <c:v>0.84659750187847571</c:v>
                </c:pt>
                <c:pt idx="62">
                  <c:v>0.86493457958762632</c:v>
                </c:pt>
                <c:pt idx="63">
                  <c:v>0.88170903177834692</c:v>
                </c:pt>
                <c:pt idx="64">
                  <c:v>0.89695418875349198</c:v>
                </c:pt>
                <c:pt idx="65">
                  <c:v>0.91071933368760338</c:v>
                </c:pt>
                <c:pt idx="66">
                  <c:v>0.92306728788471537</c:v>
                </c:pt>
                <c:pt idx="67">
                  <c:v>0.93407189557147619</c:v>
                </c:pt>
                <c:pt idx="68">
                  <c:v>0.94381549570260725</c:v>
                </c:pt>
                <c:pt idx="69">
                  <c:v>0.95238645975604708</c:v>
                </c:pt>
                <c:pt idx="70">
                  <c:v>0.95987686350519175</c:v>
                </c:pt>
                <c:pt idx="71">
                  <c:v>0.96638034808251072</c:v>
                </c:pt>
                <c:pt idx="72">
                  <c:v>0.97199021210219638</c:v>
                </c:pt>
                <c:pt idx="73">
                  <c:v>0.97679776295185339</c:v>
                </c:pt>
                <c:pt idx="74">
                  <c:v>0.98089094226994922</c:v>
                </c:pt>
                <c:pt idx="75">
                  <c:v>0.98435322865456232</c:v>
                </c:pt>
                <c:pt idx="76">
                  <c:v>0.98726281022228424</c:v>
                </c:pt>
                <c:pt idx="77">
                  <c:v>0.98969201103405224</c:v>
                </c:pt>
                <c:pt idx="78">
                  <c:v>0.99170694876830023</c:v>
                </c:pt>
                <c:pt idx="79">
                  <c:v>0.99336739636572302</c:v>
                </c:pt>
                <c:pt idx="80">
                  <c:v>0.99472681760039372</c:v>
                </c:pt>
                <c:pt idx="81">
                  <c:v>0.99583254546989686</c:v>
                </c:pt>
                <c:pt idx="82">
                  <c:v>0.99672607270267155</c:v>
                </c:pt>
                <c:pt idx="83">
                  <c:v>0.99744342527758056</c:v>
                </c:pt>
                <c:pt idx="84">
                  <c:v>0.99801559234884785</c:v>
                </c:pt>
                <c:pt idx="85">
                  <c:v>0.99846898908454595</c:v>
                </c:pt>
                <c:pt idx="86">
                  <c:v>0.99882593239563189</c:v>
                </c:pt>
                <c:pt idx="87">
                  <c:v>0.99910511312443029</c:v>
                </c:pt>
                <c:pt idx="88">
                  <c:v>0.99932205178524391</c:v>
                </c:pt>
                <c:pt idx="89">
                  <c:v>0.99948952825677762</c:v>
                </c:pt>
                <c:pt idx="90">
                  <c:v>0.99961797880997305</c:v>
                </c:pt>
                <c:pt idx="91">
                  <c:v>0.99971585644886596</c:v>
                </c:pt>
                <c:pt idx="92">
                  <c:v>0.99978995271407756</c:v>
                </c:pt>
                <c:pt idx="93">
                  <c:v>0.99984568084535153</c:v>
                </c:pt>
                <c:pt idx="94">
                  <c:v>0.99988732154041415</c:v>
                </c:pt>
                <c:pt idx="95">
                  <c:v>0.99991823351784814</c:v>
                </c:pt>
                <c:pt idx="96">
                  <c:v>0.99994103173744897</c:v>
                </c:pt>
                <c:pt idx="97">
                  <c:v>0.99995773650376296</c:v>
                </c:pt>
                <c:pt idx="98">
                  <c:v>0.99996989682935422</c:v>
                </c:pt>
                <c:pt idx="99">
                  <c:v>0.99997869141390128</c:v>
                </c:pt>
                <c:pt idx="100">
                  <c:v>0.99998501044917321</c:v>
                </c:pt>
              </c:numCache>
            </c:numRef>
          </c:yVal>
          <c:smooth val="0"/>
        </c:ser>
        <c:ser>
          <c:idx val="1"/>
          <c:order val="1"/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'Kap 4.2 - fig 4.5'!$D$6:$D$106</c:f>
              <c:numCache>
                <c:formatCode>General</c:formatCode>
                <c:ptCount val="101"/>
                <c:pt idx="0" formatCode="0.0">
                  <c:v>120</c:v>
                </c:pt>
                <c:pt idx="1">
                  <c:v>120.1</c:v>
                </c:pt>
                <c:pt idx="2" formatCode="0.0">
                  <c:v>120.2</c:v>
                </c:pt>
                <c:pt idx="3">
                  <c:v>120.3</c:v>
                </c:pt>
                <c:pt idx="4" formatCode="0.0">
                  <c:v>120.4</c:v>
                </c:pt>
                <c:pt idx="5">
                  <c:v>120.5</c:v>
                </c:pt>
                <c:pt idx="6" formatCode="0.0">
                  <c:v>120.6</c:v>
                </c:pt>
                <c:pt idx="7">
                  <c:v>120.7</c:v>
                </c:pt>
                <c:pt idx="8" formatCode="0.0">
                  <c:v>120.8</c:v>
                </c:pt>
                <c:pt idx="9">
                  <c:v>120.9</c:v>
                </c:pt>
                <c:pt idx="10" formatCode="0.0">
                  <c:v>121</c:v>
                </c:pt>
                <c:pt idx="11">
                  <c:v>121.1</c:v>
                </c:pt>
                <c:pt idx="12" formatCode="0.0">
                  <c:v>121.2</c:v>
                </c:pt>
                <c:pt idx="13">
                  <c:v>121.3</c:v>
                </c:pt>
                <c:pt idx="14" formatCode="0.0">
                  <c:v>121.4</c:v>
                </c:pt>
                <c:pt idx="15">
                  <c:v>121.5</c:v>
                </c:pt>
                <c:pt idx="16" formatCode="0.0">
                  <c:v>121.6</c:v>
                </c:pt>
                <c:pt idx="17">
                  <c:v>121.7</c:v>
                </c:pt>
                <c:pt idx="18" formatCode="0.0">
                  <c:v>121.8</c:v>
                </c:pt>
                <c:pt idx="19">
                  <c:v>121.9</c:v>
                </c:pt>
                <c:pt idx="20" formatCode="0.0">
                  <c:v>122</c:v>
                </c:pt>
                <c:pt idx="21">
                  <c:v>122.1</c:v>
                </c:pt>
                <c:pt idx="22" formatCode="0.0">
                  <c:v>122.2</c:v>
                </c:pt>
                <c:pt idx="23">
                  <c:v>122.3</c:v>
                </c:pt>
                <c:pt idx="24" formatCode="0.0">
                  <c:v>122.4</c:v>
                </c:pt>
                <c:pt idx="25">
                  <c:v>122.5</c:v>
                </c:pt>
                <c:pt idx="26" formatCode="0.0">
                  <c:v>122.6</c:v>
                </c:pt>
                <c:pt idx="27">
                  <c:v>122.69</c:v>
                </c:pt>
                <c:pt idx="28" formatCode="0.0">
                  <c:v>122.7</c:v>
                </c:pt>
                <c:pt idx="29">
                  <c:v>122.8</c:v>
                </c:pt>
                <c:pt idx="30" formatCode="0.0">
                  <c:v>122.9</c:v>
                </c:pt>
                <c:pt idx="31">
                  <c:v>123</c:v>
                </c:pt>
                <c:pt idx="32" formatCode="0.0">
                  <c:v>123.1</c:v>
                </c:pt>
                <c:pt idx="33">
                  <c:v>123.2</c:v>
                </c:pt>
                <c:pt idx="34" formatCode="0.0">
                  <c:v>123.3</c:v>
                </c:pt>
                <c:pt idx="35">
                  <c:v>123.4</c:v>
                </c:pt>
                <c:pt idx="36" formatCode="0.0">
                  <c:v>123.5</c:v>
                </c:pt>
                <c:pt idx="37">
                  <c:v>123.6</c:v>
                </c:pt>
                <c:pt idx="38" formatCode="0.0">
                  <c:v>123.7</c:v>
                </c:pt>
                <c:pt idx="39">
                  <c:v>123.8</c:v>
                </c:pt>
                <c:pt idx="40" formatCode="0.0">
                  <c:v>123.9</c:v>
                </c:pt>
                <c:pt idx="41">
                  <c:v>124</c:v>
                </c:pt>
                <c:pt idx="42" formatCode="0.0">
                  <c:v>124.1</c:v>
                </c:pt>
                <c:pt idx="43">
                  <c:v>124.2</c:v>
                </c:pt>
                <c:pt idx="44" formatCode="0.0">
                  <c:v>124.3</c:v>
                </c:pt>
                <c:pt idx="45">
                  <c:v>124.4</c:v>
                </c:pt>
                <c:pt idx="46" formatCode="0.0">
                  <c:v>124.5</c:v>
                </c:pt>
                <c:pt idx="47">
                  <c:v>124.6</c:v>
                </c:pt>
                <c:pt idx="48" formatCode="0.0">
                  <c:v>124.7</c:v>
                </c:pt>
                <c:pt idx="49">
                  <c:v>124.8</c:v>
                </c:pt>
                <c:pt idx="50" formatCode="0.0">
                  <c:v>124.9</c:v>
                </c:pt>
                <c:pt idx="51">
                  <c:v>125</c:v>
                </c:pt>
                <c:pt idx="52" formatCode="0.0">
                  <c:v>125.1</c:v>
                </c:pt>
                <c:pt idx="53">
                  <c:v>125.2</c:v>
                </c:pt>
                <c:pt idx="54" formatCode="0.0">
                  <c:v>125.3</c:v>
                </c:pt>
                <c:pt idx="55">
                  <c:v>125.4</c:v>
                </c:pt>
                <c:pt idx="56" formatCode="0.0">
                  <c:v>125.5</c:v>
                </c:pt>
                <c:pt idx="57">
                  <c:v>125.6</c:v>
                </c:pt>
                <c:pt idx="58" formatCode="0.0">
                  <c:v>125.7</c:v>
                </c:pt>
                <c:pt idx="59">
                  <c:v>125.8</c:v>
                </c:pt>
                <c:pt idx="60" formatCode="0.0">
                  <c:v>125.9</c:v>
                </c:pt>
                <c:pt idx="61">
                  <c:v>126</c:v>
                </c:pt>
                <c:pt idx="62" formatCode="0.0">
                  <c:v>126.1</c:v>
                </c:pt>
                <c:pt idx="63">
                  <c:v>126.2</c:v>
                </c:pt>
                <c:pt idx="64" formatCode="0.0">
                  <c:v>126.3</c:v>
                </c:pt>
                <c:pt idx="65">
                  <c:v>126.4</c:v>
                </c:pt>
                <c:pt idx="66" formatCode="0.0">
                  <c:v>126.5</c:v>
                </c:pt>
                <c:pt idx="67">
                  <c:v>126.6</c:v>
                </c:pt>
                <c:pt idx="68" formatCode="0.0">
                  <c:v>126.7</c:v>
                </c:pt>
                <c:pt idx="69">
                  <c:v>126.8</c:v>
                </c:pt>
                <c:pt idx="70" formatCode="0.0">
                  <c:v>126.9</c:v>
                </c:pt>
                <c:pt idx="71">
                  <c:v>127</c:v>
                </c:pt>
                <c:pt idx="72" formatCode="0.0">
                  <c:v>127.1</c:v>
                </c:pt>
                <c:pt idx="73">
                  <c:v>127.2</c:v>
                </c:pt>
                <c:pt idx="74" formatCode="0.0">
                  <c:v>127.3</c:v>
                </c:pt>
                <c:pt idx="75">
                  <c:v>127.4</c:v>
                </c:pt>
                <c:pt idx="76" formatCode="0.0">
                  <c:v>127.5</c:v>
                </c:pt>
                <c:pt idx="77">
                  <c:v>127.6</c:v>
                </c:pt>
                <c:pt idx="78" formatCode="0.0">
                  <c:v>127.7</c:v>
                </c:pt>
                <c:pt idx="79">
                  <c:v>127.8</c:v>
                </c:pt>
                <c:pt idx="80" formatCode="0.0">
                  <c:v>127.9</c:v>
                </c:pt>
                <c:pt idx="81">
                  <c:v>128</c:v>
                </c:pt>
                <c:pt idx="82" formatCode="0.0">
                  <c:v>128.1</c:v>
                </c:pt>
                <c:pt idx="83">
                  <c:v>128.19999999999999</c:v>
                </c:pt>
                <c:pt idx="84" formatCode="0.0">
                  <c:v>128.30000000000001</c:v>
                </c:pt>
                <c:pt idx="85">
                  <c:v>128.4</c:v>
                </c:pt>
                <c:pt idx="86" formatCode="0.0">
                  <c:v>128.5</c:v>
                </c:pt>
                <c:pt idx="87">
                  <c:v>128.6</c:v>
                </c:pt>
                <c:pt idx="88" formatCode="0.0">
                  <c:v>128.69999999999999</c:v>
                </c:pt>
                <c:pt idx="89">
                  <c:v>128.80000000000001</c:v>
                </c:pt>
                <c:pt idx="90" formatCode="0.0">
                  <c:v>128.9</c:v>
                </c:pt>
                <c:pt idx="91">
                  <c:v>129</c:v>
                </c:pt>
                <c:pt idx="92" formatCode="0.0">
                  <c:v>129.1</c:v>
                </c:pt>
                <c:pt idx="93">
                  <c:v>129.19999999999999</c:v>
                </c:pt>
                <c:pt idx="94" formatCode="0.0">
                  <c:v>129.30000000000001</c:v>
                </c:pt>
                <c:pt idx="95">
                  <c:v>129.4</c:v>
                </c:pt>
                <c:pt idx="96" formatCode="0.0">
                  <c:v>129.5</c:v>
                </c:pt>
                <c:pt idx="97">
                  <c:v>129.6</c:v>
                </c:pt>
                <c:pt idx="98" formatCode="0.0">
                  <c:v>129.69999999999999</c:v>
                </c:pt>
                <c:pt idx="99">
                  <c:v>129.80000000000001</c:v>
                </c:pt>
                <c:pt idx="100" formatCode="0.0">
                  <c:v>129.9</c:v>
                </c:pt>
              </c:numCache>
            </c:numRef>
          </c:xVal>
          <c:yVal>
            <c:numRef>
              <c:f>'Kap 4.2 - fig 4.5'!$F$6:$F$106</c:f>
              <c:numCache>
                <c:formatCode>General</c:formatCode>
                <c:ptCount val="101"/>
                <c:pt idx="0">
                  <c:v>1.8775722310238052E-8</c:v>
                </c:pt>
                <c:pt idx="1">
                  <c:v>4.1809672279846666E-8</c:v>
                </c:pt>
                <c:pt idx="2">
                  <c:v>9.1274997782164746E-8</c:v>
                </c:pt>
                <c:pt idx="3">
                  <c:v>1.9535919915103506E-7</c:v>
                </c:pt>
                <c:pt idx="4">
                  <c:v>4.0995453065573173E-7</c:v>
                </c:pt>
                <c:pt idx="5">
                  <c:v>8.4347265505435587E-7</c:v>
                </c:pt>
                <c:pt idx="6">
                  <c:v>1.7015882669557669E-6</c:v>
                </c:pt>
                <c:pt idx="7">
                  <c:v>3.3659047808942688E-6</c:v>
                </c:pt>
                <c:pt idx="8">
                  <c:v>6.5287477931663673E-6</c:v>
                </c:pt>
                <c:pt idx="9">
                  <c:v>1.2418146597137358E-5</c:v>
                </c:pt>
                <c:pt idx="10">
                  <c:v>2.3163381738244837E-5</c:v>
                </c:pt>
                <c:pt idx="11">
                  <c:v>4.237272573737183E-5</c:v>
                </c:pt>
                <c:pt idx="12">
                  <c:v>7.6020846327295999E-5</c:v>
                </c:pt>
                <c:pt idx="13">
                  <c:v>1.3377201459874311E-4</c:v>
                </c:pt>
                <c:pt idx="14">
                  <c:v>2.3089285623267841E-4</c:v>
                </c:pt>
                <c:pt idx="15">
                  <c:v>3.9092816671737474E-4</c:v>
                </c:pt>
                <c:pt idx="16">
                  <c:v>6.4931532622014565E-4</c:v>
                </c:pt>
                <c:pt idx="17">
                  <c:v>1.0580841680218889E-3</c:v>
                </c:pt>
                <c:pt idx="18">
                  <c:v>1.6917151453040846E-3</c:v>
                </c:pt>
                <c:pt idx="19">
                  <c:v>2.6540955924301279E-3</c:v>
                </c:pt>
                <c:pt idx="20">
                  <c:v>4.0863130600331532E-3</c:v>
                </c:pt>
                <c:pt idx="21">
                  <c:v>6.174757564316069E-3</c:v>
                </c:pt>
                <c:pt idx="22">
                  <c:v>9.1586881896468242E-3</c:v>
                </c:pt>
                <c:pt idx="23">
                  <c:v>1.3336090709983761E-2</c:v>
                </c:pt>
                <c:pt idx="24">
                  <c:v>1.9066369573960462E-2</c:v>
                </c:pt>
                <c:pt idx="25">
                  <c:v>2.6768254587132168E-2</c:v>
                </c:pt>
                <c:pt idx="26">
                  <c:v>3.6911341633427908E-2</c:v>
                </c:pt>
                <c:pt idx="27">
                  <c:v>4.854385866627664E-2</c:v>
                </c:pt>
                <c:pt idx="28">
                  <c:v>5.0000000000000044E-2</c:v>
                </c:pt>
                <c:pt idx="29">
                  <c:v>6.6549008422224554E-2</c:v>
                </c:pt>
                <c:pt idx="30">
                  <c:v>8.7051219211324415E-2</c:v>
                </c:pt>
                <c:pt idx="31">
                  <c:v>0.11193872022172824</c:v>
                </c:pt>
                <c:pt idx="32">
                  <c:v>0.14154022385658827</c:v>
                </c:pt>
                <c:pt idx="33">
                  <c:v>0.17603855953027514</c:v>
                </c:pt>
                <c:pt idx="34">
                  <c:v>0.2154329522673617</c:v>
                </c:pt>
                <c:pt idx="35">
                  <c:v>0.25951102284144534</c:v>
                </c:pt>
                <c:pt idx="36">
                  <c:v>0.30783499707941298</c:v>
                </c:pt>
                <c:pt idx="37">
                  <c:v>0.3597454260406987</c:v>
                </c:pt>
                <c:pt idx="38">
                  <c:v>0.41438389216087357</c:v>
                </c:pt>
                <c:pt idx="39">
                  <c:v>0.47073393999022106</c:v>
                </c:pt>
                <c:pt idx="40">
                  <c:v>0.52767715572957352</c:v>
                </c:pt>
                <c:pt idx="41">
                  <c:v>0.58405930149028729</c:v>
                </c:pt>
                <c:pt idx="42">
                  <c:v>0.6387600313123305</c:v>
                </c:pt>
                <c:pt idx="43">
                  <c:v>0.690759217970909</c:v>
                </c:pt>
                <c:pt idx="44">
                  <c:v>0.73919339092175684</c:v>
                </c:pt>
                <c:pt idx="45">
                  <c:v>0.78339714266765814</c:v>
                </c:pt>
                <c:pt idx="46">
                  <c:v>0.8229263655735275</c:v>
                </c:pt>
                <c:pt idx="47">
                  <c:v>0.85756249242099702</c:v>
                </c:pt>
                <c:pt idx="48">
                  <c:v>0.88729915749137223</c:v>
                </c:pt>
                <c:pt idx="49">
                  <c:v>0.91231453675029517</c:v>
                </c:pt>
                <c:pt idx="50">
                  <c:v>0.93293383150895726</c:v>
                </c:pt>
                <c:pt idx="51">
                  <c:v>0.94958682842612441</c:v>
                </c:pt>
                <c:pt idx="52">
                  <c:v>0.96276523399459613</c:v>
                </c:pt>
                <c:pt idx="53">
                  <c:v>0.97298368817037006</c:v>
                </c:pt>
                <c:pt idx="54">
                  <c:v>0.98074722097015599</c:v>
                </c:pt>
                <c:pt idx="55">
                  <c:v>0.98652665661261152</c:v>
                </c:pt>
                <c:pt idx="56">
                  <c:v>0.99074229462650454</c:v>
                </c:pt>
                <c:pt idx="57">
                  <c:v>0.99375525224530714</c:v>
                </c:pt>
                <c:pt idx="58">
                  <c:v>0.9958652138574583</c:v>
                </c:pt>
                <c:pt idx="59">
                  <c:v>0.99731301159874275</c:v>
                </c:pt>
                <c:pt idx="60">
                  <c:v>0.9982864153905151</c:v>
                </c:pt>
                <c:pt idx="61">
                  <c:v>0.99892766920073117</c:v>
                </c:pt>
                <c:pt idx="62">
                  <c:v>0.99934159134103362</c:v>
                </c:pt>
                <c:pt idx="63">
                  <c:v>0.99960338499547374</c:v>
                </c:pt>
                <c:pt idx="64">
                  <c:v>0.99976562252348455</c:v>
                </c:pt>
                <c:pt idx="65">
                  <c:v>0.99986413591190648</c:v>
                </c:pt>
                <c:pt idx="66">
                  <c:v>0.99992274850163965</c:v>
                </c:pt>
                <c:pt idx="67">
                  <c:v>0.99995691797343156</c:v>
                </c:pt>
                <c:pt idx="68">
                  <c:v>0.9999764360629243</c:v>
                </c:pt>
                <c:pt idx="69">
                  <c:v>0.99998736022192791</c:v>
                </c:pt>
                <c:pt idx="70">
                  <c:v>0.9999933510984903</c:v>
                </c:pt>
                <c:pt idx="71">
                  <c:v>0.99999657027183309</c:v>
                </c:pt>
                <c:pt idx="72">
                  <c:v>0.99999826519481527</c:v>
                </c:pt>
                <c:pt idx="73">
                  <c:v>0.99999913958881637</c:v>
                </c:pt>
                <c:pt idx="74">
                  <c:v>0.99999958158238078</c:v>
                </c:pt>
                <c:pt idx="75">
                  <c:v>0.99999980049776249</c:v>
                </c:pt>
                <c:pt idx="76">
                  <c:v>0.9999999067377825</c:v>
                </c:pt>
                <c:pt idx="77">
                  <c:v>0.99999995725640778</c:v>
                </c:pt>
                <c:pt idx="78">
                  <c:v>0.99999998079423624</c:v>
                </c:pt>
                <c:pt idx="79">
                  <c:v>0.99999999153988739</c:v>
                </c:pt>
                <c:pt idx="80">
                  <c:v>0.99999999634662617</c:v>
                </c:pt>
                <c:pt idx="81">
                  <c:v>0.9999999984534087</c:v>
                </c:pt>
                <c:pt idx="82">
                  <c:v>0.99999999935818318</c:v>
                </c:pt>
                <c:pt idx="83">
                  <c:v>0.99999999973890896</c:v>
                </c:pt>
                <c:pt idx="84">
                  <c:v>0.99999999989588584</c:v>
                </c:pt>
                <c:pt idx="85">
                  <c:v>0.99999999995930355</c:v>
                </c:pt>
                <c:pt idx="86">
                  <c:v>0.99999999998440714</c:v>
                </c:pt>
                <c:pt idx="87">
                  <c:v>0.99999999999414391</c:v>
                </c:pt>
                <c:pt idx="88">
                  <c:v>0.99999999999784428</c:v>
                </c:pt>
                <c:pt idx="89">
                  <c:v>0.99999999999922218</c:v>
                </c:pt>
                <c:pt idx="90">
                  <c:v>0.99999999999972489</c:v>
                </c:pt>
                <c:pt idx="91">
                  <c:v>0.99999999999990463</c:v>
                </c:pt>
                <c:pt idx="92">
                  <c:v>0.99999999999996758</c:v>
                </c:pt>
                <c:pt idx="93">
                  <c:v>0.99999999999998923</c:v>
                </c:pt>
                <c:pt idx="94">
                  <c:v>0.99999999999999645</c:v>
                </c:pt>
                <c:pt idx="95">
                  <c:v>0.99999999999999889</c:v>
                </c:pt>
                <c:pt idx="96">
                  <c:v>0.99999999999999967</c:v>
                </c:pt>
                <c:pt idx="97">
                  <c:v>0.99999999999999989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</c:numCache>
            </c:numRef>
          </c:yVal>
          <c:smooth val="0"/>
        </c:ser>
        <c:ser>
          <c:idx val="2"/>
          <c:order val="2"/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'Kap 4.2 - fig 4.5'!$D$6:$D$106</c:f>
              <c:numCache>
                <c:formatCode>General</c:formatCode>
                <c:ptCount val="101"/>
                <c:pt idx="0" formatCode="0.0">
                  <c:v>120</c:v>
                </c:pt>
                <c:pt idx="1">
                  <c:v>120.1</c:v>
                </c:pt>
                <c:pt idx="2" formatCode="0.0">
                  <c:v>120.2</c:v>
                </c:pt>
                <c:pt idx="3">
                  <c:v>120.3</c:v>
                </c:pt>
                <c:pt idx="4" formatCode="0.0">
                  <c:v>120.4</c:v>
                </c:pt>
                <c:pt idx="5">
                  <c:v>120.5</c:v>
                </c:pt>
                <c:pt idx="6" formatCode="0.0">
                  <c:v>120.6</c:v>
                </c:pt>
                <c:pt idx="7">
                  <c:v>120.7</c:v>
                </c:pt>
                <c:pt idx="8" formatCode="0.0">
                  <c:v>120.8</c:v>
                </c:pt>
                <c:pt idx="9">
                  <c:v>120.9</c:v>
                </c:pt>
                <c:pt idx="10" formatCode="0.0">
                  <c:v>121</c:v>
                </c:pt>
                <c:pt idx="11">
                  <c:v>121.1</c:v>
                </c:pt>
                <c:pt idx="12" formatCode="0.0">
                  <c:v>121.2</c:v>
                </c:pt>
                <c:pt idx="13">
                  <c:v>121.3</c:v>
                </c:pt>
                <c:pt idx="14" formatCode="0.0">
                  <c:v>121.4</c:v>
                </c:pt>
                <c:pt idx="15">
                  <c:v>121.5</c:v>
                </c:pt>
                <c:pt idx="16" formatCode="0.0">
                  <c:v>121.6</c:v>
                </c:pt>
                <c:pt idx="17">
                  <c:v>121.7</c:v>
                </c:pt>
                <c:pt idx="18" formatCode="0.0">
                  <c:v>121.8</c:v>
                </c:pt>
                <c:pt idx="19">
                  <c:v>121.9</c:v>
                </c:pt>
                <c:pt idx="20" formatCode="0.0">
                  <c:v>122</c:v>
                </c:pt>
                <c:pt idx="21">
                  <c:v>122.1</c:v>
                </c:pt>
                <c:pt idx="22" formatCode="0.0">
                  <c:v>122.2</c:v>
                </c:pt>
                <c:pt idx="23">
                  <c:v>122.3</c:v>
                </c:pt>
                <c:pt idx="24" formatCode="0.0">
                  <c:v>122.4</c:v>
                </c:pt>
                <c:pt idx="25">
                  <c:v>122.5</c:v>
                </c:pt>
                <c:pt idx="26" formatCode="0.0">
                  <c:v>122.6</c:v>
                </c:pt>
                <c:pt idx="27">
                  <c:v>122.69</c:v>
                </c:pt>
                <c:pt idx="28" formatCode="0.0">
                  <c:v>122.7</c:v>
                </c:pt>
                <c:pt idx="29">
                  <c:v>122.8</c:v>
                </c:pt>
                <c:pt idx="30" formatCode="0.0">
                  <c:v>122.9</c:v>
                </c:pt>
                <c:pt idx="31">
                  <c:v>123</c:v>
                </c:pt>
                <c:pt idx="32" formatCode="0.0">
                  <c:v>123.1</c:v>
                </c:pt>
                <c:pt idx="33">
                  <c:v>123.2</c:v>
                </c:pt>
                <c:pt idx="34" formatCode="0.0">
                  <c:v>123.3</c:v>
                </c:pt>
                <c:pt idx="35">
                  <c:v>123.4</c:v>
                </c:pt>
                <c:pt idx="36" formatCode="0.0">
                  <c:v>123.5</c:v>
                </c:pt>
                <c:pt idx="37">
                  <c:v>123.6</c:v>
                </c:pt>
                <c:pt idx="38" formatCode="0.0">
                  <c:v>123.7</c:v>
                </c:pt>
                <c:pt idx="39">
                  <c:v>123.8</c:v>
                </c:pt>
                <c:pt idx="40" formatCode="0.0">
                  <c:v>123.9</c:v>
                </c:pt>
                <c:pt idx="41">
                  <c:v>124</c:v>
                </c:pt>
                <c:pt idx="42" formatCode="0.0">
                  <c:v>124.1</c:v>
                </c:pt>
                <c:pt idx="43">
                  <c:v>124.2</c:v>
                </c:pt>
                <c:pt idx="44" formatCode="0.0">
                  <c:v>124.3</c:v>
                </c:pt>
                <c:pt idx="45">
                  <c:v>124.4</c:v>
                </c:pt>
                <c:pt idx="46" formatCode="0.0">
                  <c:v>124.5</c:v>
                </c:pt>
                <c:pt idx="47">
                  <c:v>124.6</c:v>
                </c:pt>
                <c:pt idx="48" formatCode="0.0">
                  <c:v>124.7</c:v>
                </c:pt>
                <c:pt idx="49">
                  <c:v>124.8</c:v>
                </c:pt>
                <c:pt idx="50" formatCode="0.0">
                  <c:v>124.9</c:v>
                </c:pt>
                <c:pt idx="51">
                  <c:v>125</c:v>
                </c:pt>
                <c:pt idx="52" formatCode="0.0">
                  <c:v>125.1</c:v>
                </c:pt>
                <c:pt idx="53">
                  <c:v>125.2</c:v>
                </c:pt>
                <c:pt idx="54" formatCode="0.0">
                  <c:v>125.3</c:v>
                </c:pt>
                <c:pt idx="55">
                  <c:v>125.4</c:v>
                </c:pt>
                <c:pt idx="56" formatCode="0.0">
                  <c:v>125.5</c:v>
                </c:pt>
                <c:pt idx="57">
                  <c:v>125.6</c:v>
                </c:pt>
                <c:pt idx="58" formatCode="0.0">
                  <c:v>125.7</c:v>
                </c:pt>
                <c:pt idx="59">
                  <c:v>125.8</c:v>
                </c:pt>
                <c:pt idx="60" formatCode="0.0">
                  <c:v>125.9</c:v>
                </c:pt>
                <c:pt idx="61">
                  <c:v>126</c:v>
                </c:pt>
                <c:pt idx="62" formatCode="0.0">
                  <c:v>126.1</c:v>
                </c:pt>
                <c:pt idx="63">
                  <c:v>126.2</c:v>
                </c:pt>
                <c:pt idx="64" formatCode="0.0">
                  <c:v>126.3</c:v>
                </c:pt>
                <c:pt idx="65">
                  <c:v>126.4</c:v>
                </c:pt>
                <c:pt idx="66" formatCode="0.0">
                  <c:v>126.5</c:v>
                </c:pt>
                <c:pt idx="67">
                  <c:v>126.6</c:v>
                </c:pt>
                <c:pt idx="68" formatCode="0.0">
                  <c:v>126.7</c:v>
                </c:pt>
                <c:pt idx="69">
                  <c:v>126.8</c:v>
                </c:pt>
                <c:pt idx="70" formatCode="0.0">
                  <c:v>126.9</c:v>
                </c:pt>
                <c:pt idx="71">
                  <c:v>127</c:v>
                </c:pt>
                <c:pt idx="72" formatCode="0.0">
                  <c:v>127.1</c:v>
                </c:pt>
                <c:pt idx="73">
                  <c:v>127.2</c:v>
                </c:pt>
                <c:pt idx="74" formatCode="0.0">
                  <c:v>127.3</c:v>
                </c:pt>
                <c:pt idx="75">
                  <c:v>127.4</c:v>
                </c:pt>
                <c:pt idx="76" formatCode="0.0">
                  <c:v>127.5</c:v>
                </c:pt>
                <c:pt idx="77">
                  <c:v>127.6</c:v>
                </c:pt>
                <c:pt idx="78" formatCode="0.0">
                  <c:v>127.7</c:v>
                </c:pt>
                <c:pt idx="79">
                  <c:v>127.8</c:v>
                </c:pt>
                <c:pt idx="80" formatCode="0.0">
                  <c:v>127.9</c:v>
                </c:pt>
                <c:pt idx="81">
                  <c:v>128</c:v>
                </c:pt>
                <c:pt idx="82" formatCode="0.0">
                  <c:v>128.1</c:v>
                </c:pt>
                <c:pt idx="83">
                  <c:v>128.19999999999999</c:v>
                </c:pt>
                <c:pt idx="84" formatCode="0.0">
                  <c:v>128.30000000000001</c:v>
                </c:pt>
                <c:pt idx="85">
                  <c:v>128.4</c:v>
                </c:pt>
                <c:pt idx="86" formatCode="0.0">
                  <c:v>128.5</c:v>
                </c:pt>
                <c:pt idx="87">
                  <c:v>128.6</c:v>
                </c:pt>
                <c:pt idx="88" formatCode="0.0">
                  <c:v>128.69999999999999</c:v>
                </c:pt>
                <c:pt idx="89">
                  <c:v>128.80000000000001</c:v>
                </c:pt>
                <c:pt idx="90" formatCode="0.0">
                  <c:v>128.9</c:v>
                </c:pt>
                <c:pt idx="91">
                  <c:v>129</c:v>
                </c:pt>
                <c:pt idx="92" formatCode="0.0">
                  <c:v>129.1</c:v>
                </c:pt>
                <c:pt idx="93">
                  <c:v>129.19999999999999</c:v>
                </c:pt>
                <c:pt idx="94" formatCode="0.0">
                  <c:v>129.30000000000001</c:v>
                </c:pt>
                <c:pt idx="95">
                  <c:v>129.4</c:v>
                </c:pt>
                <c:pt idx="96" formatCode="0.0">
                  <c:v>129.5</c:v>
                </c:pt>
                <c:pt idx="97">
                  <c:v>129.6</c:v>
                </c:pt>
                <c:pt idx="98" formatCode="0.0">
                  <c:v>129.69999999999999</c:v>
                </c:pt>
                <c:pt idx="99">
                  <c:v>129.80000000000001</c:v>
                </c:pt>
                <c:pt idx="100" formatCode="0.0">
                  <c:v>129.9</c:v>
                </c:pt>
              </c:numCache>
            </c:numRef>
          </c:xVal>
          <c:yVal>
            <c:numRef>
              <c:f>'Kap 4.2 - fig 4.5'!$G$6:$G$106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3.3659274105701797E-6</c:v>
                </c:pt>
                <c:pt idx="28">
                  <c:v>5.0000000000000044E-2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322560"/>
        <c:axId val="146324096"/>
      </c:scatterChart>
      <c:valAx>
        <c:axId val="146322560"/>
        <c:scaling>
          <c:orientation val="minMax"/>
          <c:max val="130"/>
          <c:min val="120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146324096"/>
        <c:crosses val="autoZero"/>
        <c:crossBetween val="midCat"/>
      </c:valAx>
      <c:valAx>
        <c:axId val="146324096"/>
        <c:scaling>
          <c:orientation val="minMax"/>
          <c:max val="1"/>
        </c:scaling>
        <c:delete val="0"/>
        <c:axPos val="l"/>
        <c:numFmt formatCode="#,##0.0" sourceLinked="0"/>
        <c:majorTickMark val="out"/>
        <c:minorTickMark val="none"/>
        <c:tickLblPos val="nextTo"/>
        <c:crossAx val="146322560"/>
        <c:crosses val="autoZero"/>
        <c:crossBetween val="midCat"/>
        <c:majorUnit val="0.2"/>
      </c:valAx>
    </c:plotArea>
    <c:plotVisOnly val="1"/>
    <c:dispBlanksAs val="gap"/>
    <c:showDLblsOverMax val="0"/>
  </c:chart>
  <c:printSettings>
    <c:headerFooter alignWithMargins="0"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yVal>
            <c:numRef>
              <c:f>'Kap 4.3, t-test'!$C$3:$C$10</c:f>
              <c:numCache>
                <c:formatCode>0.0</c:formatCode>
                <c:ptCount val="8"/>
                <c:pt idx="0">
                  <c:v>125.2</c:v>
                </c:pt>
                <c:pt idx="1">
                  <c:v>132.30000000000001</c:v>
                </c:pt>
                <c:pt idx="2">
                  <c:v>126</c:v>
                </c:pt>
                <c:pt idx="3">
                  <c:v>128.5</c:v>
                </c:pt>
                <c:pt idx="4">
                  <c:v>124.8</c:v>
                </c:pt>
                <c:pt idx="5">
                  <c:v>122.4</c:v>
                </c:pt>
                <c:pt idx="6">
                  <c:v>118.9</c:v>
                </c:pt>
                <c:pt idx="7">
                  <c:v>120.9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433728"/>
        <c:axId val="147329024"/>
      </c:scatterChart>
      <c:valAx>
        <c:axId val="14743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147329024"/>
        <c:crosses val="autoZero"/>
        <c:crossBetween val="midCat"/>
      </c:valAx>
      <c:valAx>
        <c:axId val="147329024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147433728"/>
        <c:crosses val="autoZero"/>
        <c:crossBetween val="midCat"/>
      </c:valAx>
    </c:plotArea>
    <c:plotVisOnly val="1"/>
    <c:dispBlanksAs val="gap"/>
    <c:showDLblsOverMax val="0"/>
  </c:chart>
  <c:printSettings>
    <c:headerFooter alignWithMargins="0"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4</xdr:row>
      <xdr:rowOff>171450</xdr:rowOff>
    </xdr:from>
    <xdr:to>
      <xdr:col>12</xdr:col>
      <xdr:colOff>685800</xdr:colOff>
      <xdr:row>23</xdr:row>
      <xdr:rowOff>104775</xdr:rowOff>
    </xdr:to>
    <xdr:graphicFrame macro="">
      <xdr:nvGraphicFramePr>
        <xdr:cNvPr id="3094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0</xdr:row>
          <xdr:rowOff>104775</xdr:rowOff>
        </xdr:from>
        <xdr:to>
          <xdr:col>7</xdr:col>
          <xdr:colOff>666750</xdr:colOff>
          <xdr:row>2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3</xdr:row>
      <xdr:rowOff>142875</xdr:rowOff>
    </xdr:from>
    <xdr:to>
      <xdr:col>17</xdr:col>
      <xdr:colOff>57150</xdr:colOff>
      <xdr:row>20</xdr:row>
      <xdr:rowOff>133350</xdr:rowOff>
    </xdr:to>
    <xdr:graphicFrame macro="">
      <xdr:nvGraphicFramePr>
        <xdr:cNvPr id="514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0</xdr:row>
          <xdr:rowOff>104775</xdr:rowOff>
        </xdr:from>
        <xdr:to>
          <xdr:col>8</xdr:col>
          <xdr:colOff>323850</xdr:colOff>
          <xdr:row>2</xdr:row>
          <xdr:rowOff>47625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2</xdr:row>
      <xdr:rowOff>85725</xdr:rowOff>
    </xdr:from>
    <xdr:to>
      <xdr:col>1</xdr:col>
      <xdr:colOff>571500</xdr:colOff>
      <xdr:row>16</xdr:row>
      <xdr:rowOff>161925</xdr:rowOff>
    </xdr:to>
    <xdr:graphicFrame macro="">
      <xdr:nvGraphicFramePr>
        <xdr:cNvPr id="7189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B9" sqref="B9"/>
    </sheetView>
  </sheetViews>
  <sheetFormatPr defaultColWidth="11.42578125" defaultRowHeight="15" x14ac:dyDescent="0.25"/>
  <cols>
    <col min="1" max="1" width="10.140625" customWidth="1"/>
    <col min="2" max="2" width="74.28515625" customWidth="1"/>
    <col min="3" max="3" width="9" customWidth="1"/>
    <col min="4" max="4" width="48.5703125" customWidth="1"/>
  </cols>
  <sheetData>
    <row r="1" spans="1:4" x14ac:dyDescent="0.25">
      <c r="A1" t="s">
        <v>128</v>
      </c>
    </row>
    <row r="2" spans="1:4" x14ac:dyDescent="0.25">
      <c r="D2" s="115" t="s">
        <v>190</v>
      </c>
    </row>
    <row r="3" spans="1:4" x14ac:dyDescent="0.25">
      <c r="B3" s="115" t="s">
        <v>184</v>
      </c>
    </row>
    <row r="4" spans="1:4" x14ac:dyDescent="0.25">
      <c r="D4" s="115" t="s">
        <v>191</v>
      </c>
    </row>
    <row r="5" spans="1:4" x14ac:dyDescent="0.25">
      <c r="B5" s="115" t="s">
        <v>129</v>
      </c>
    </row>
    <row r="6" spans="1:4" x14ac:dyDescent="0.25">
      <c r="D6" s="115" t="s">
        <v>192</v>
      </c>
    </row>
    <row r="7" spans="1:4" x14ac:dyDescent="0.25">
      <c r="B7" s="115" t="s">
        <v>130</v>
      </c>
    </row>
    <row r="9" spans="1:4" x14ac:dyDescent="0.25">
      <c r="B9" s="115" t="s">
        <v>185</v>
      </c>
    </row>
    <row r="11" spans="1:4" x14ac:dyDescent="0.25">
      <c r="B11" s="115" t="s">
        <v>186</v>
      </c>
    </row>
    <row r="13" spans="1:4" x14ac:dyDescent="0.25">
      <c r="B13" s="115" t="s">
        <v>187</v>
      </c>
    </row>
    <row r="15" spans="1:4" x14ac:dyDescent="0.25">
      <c r="B15" s="115" t="s">
        <v>131</v>
      </c>
    </row>
    <row r="17" spans="2:2" x14ac:dyDescent="0.25">
      <c r="B17" s="115" t="s">
        <v>188</v>
      </c>
    </row>
    <row r="19" spans="2:2" x14ac:dyDescent="0.25">
      <c r="B19" s="115" t="s">
        <v>189</v>
      </c>
    </row>
    <row r="21" spans="2:2" x14ac:dyDescent="0.25">
      <c r="B21" s="115" t="s">
        <v>132</v>
      </c>
    </row>
    <row r="23" spans="2:2" x14ac:dyDescent="0.25">
      <c r="B23" s="115" t="s">
        <v>133</v>
      </c>
    </row>
  </sheetData>
  <hyperlinks>
    <hyperlink ref="B3" location="'Kap 4.1 - Z-test - to grupper'!A1" tooltip="Gå til arket &quot;Kap 4.1 - Z-test - to grupper&quot;" display="Kapittel 4.1,  Z-test for sammenligning av to forventningsverdier"/>
    <hyperlink ref="B5" location="'Kap 4.2 - fig 4.4'!A1" tooltip="Gå til arket &quot;Kap 4.2 - fig 4.4&quot;" display="Kapittel 4.2, figur 4.4"/>
    <hyperlink ref="B7" location="'Kap 4.2 - fig 4.5'!A1" tooltip="Gå til arket &quot;Kap 4.2 - fig 4.5&quot;" display="Kapittel 4.2, figur 4.5"/>
    <hyperlink ref="B9" location="'Kap 4.3, t-test'!A1" tooltip="Gå til arket &quot;Kap 4.3, t-test&quot;" display="Kapittel 4.3, konfidensintervall og t-tester"/>
    <hyperlink ref="B11" location="'Kap 4.3, t-test to gr - lik s'!A1" tooltip="Gå til arket &quot;Kap 4.3, t-test to gr - lik s&quot;" display="Kapittel 4.3, t-test for sammenligning av to forventningsverdier (like varianser)"/>
    <hyperlink ref="B13" location="'Kap 4.3, t-test to gr - ulik s'!A1" tooltip="Gå til arket &quot;Kap 4.3, t-test to gr - ulik s&quot;" display="Kapittel 4.3, t-test for sammenligning av to forventningsverdier (ulike varianser)"/>
    <hyperlink ref="B15" location="'Kap 4.3, t-test i par'!A1" tooltip="Gå til arket &quot;Kap 4.3, t-test i par&quot;" display="Kapittel 4.3, t-test i par"/>
    <hyperlink ref="B17" location="'Kap 4.4, kjikvadrattest'!A1" tooltip="Gå til arket &quot;Kap 4.4, kjikvadrattest&quot;" display="Kapittel 4.4, kjikvadrattest"/>
    <hyperlink ref="B19" location="'Kap 4.5'!A1" tooltip="Gå til arket &quot;Kap 4.5&quot;" display="Kapittel 4.5, kjikvadrattest for kategoriske krysstabeller"/>
    <hyperlink ref="B21" location="'Kap 4.6, fig 4.14'!A1" tooltip="Gå til arket &quot;Kap 4.6, fig 4.14&quot;" display="Kapittel 4.6, figur 4.14"/>
    <hyperlink ref="B23" location="'Kap 4.6, F-test'!A1" tooltip="Gå til arket &quot;Kap 4.6, F-test&quot;" display="Kapittel 4.6, F-test"/>
    <hyperlink ref="D2" location="'Kap 4.7, Enveis ANOVA'!A1" tooltip="Gå til arket &quot;Kap 4.7, Enveis ANOVA&quot;" display="Kapittel 4.7, enveis ANOVA"/>
    <hyperlink ref="D4" location="'Kap 4.8, Toveis ANOVA additiv'!A1" tooltip="Gå til arket &quot;Kap 4.8, Toveis ANOVA additiv&quot;" display="Kapittel 4.8, toveis ANOVA med additive faktorer"/>
    <hyperlink ref="D6" location="'Kap 4.9, Toveis ANOVA int'!A1" tooltip="Gå til arket &quot;Kap 4.9, Toveis ANOVA int&quot;" display="Kapittel 4.9, toveis ANOVA med interaksjon"/>
  </hyperlink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zoomScale="115" zoomScaleNormal="85" workbookViewId="0">
      <selection activeCell="H22" sqref="H22"/>
    </sheetView>
  </sheetViews>
  <sheetFormatPr defaultColWidth="11.42578125" defaultRowHeight="15" x14ac:dyDescent="0.25"/>
  <cols>
    <col min="1" max="1" width="9.7109375" customWidth="1"/>
    <col min="2" max="2" width="8.85546875" customWidth="1"/>
    <col min="3" max="3" width="9.42578125" customWidth="1"/>
    <col min="4" max="4" width="8.7109375" customWidth="1"/>
  </cols>
  <sheetData>
    <row r="1" spans="1:7" x14ac:dyDescent="0.25">
      <c r="A1" s="1" t="s">
        <v>160</v>
      </c>
      <c r="C1" s="115" t="s">
        <v>126</v>
      </c>
    </row>
    <row r="3" spans="1:7" ht="18" x14ac:dyDescent="0.35">
      <c r="A3" t="s">
        <v>199</v>
      </c>
    </row>
    <row r="5" spans="1:7" x14ac:dyDescent="0.25">
      <c r="B5" s="2" t="s">
        <v>100</v>
      </c>
      <c r="C5" s="2" t="s">
        <v>163</v>
      </c>
      <c r="D5" s="2" t="s">
        <v>101</v>
      </c>
      <c r="E5" s="2" t="s">
        <v>102</v>
      </c>
    </row>
    <row r="6" spans="1:7" x14ac:dyDescent="0.25">
      <c r="A6" t="s">
        <v>161</v>
      </c>
      <c r="B6" s="77">
        <v>179</v>
      </c>
      <c r="C6" s="78">
        <v>137</v>
      </c>
      <c r="D6" s="79">
        <v>229</v>
      </c>
      <c r="E6" s="76">
        <f>SUM(B6:D6)</f>
        <v>545</v>
      </c>
      <c r="F6" s="75"/>
      <c r="G6" s="75"/>
    </row>
    <row r="7" spans="1:7" x14ac:dyDescent="0.25">
      <c r="A7" t="s">
        <v>162</v>
      </c>
      <c r="B7" s="80">
        <v>177</v>
      </c>
      <c r="C7" s="81">
        <v>108</v>
      </c>
      <c r="D7" s="82">
        <v>153</v>
      </c>
      <c r="E7" s="76">
        <f>SUM(B7:D7)</f>
        <v>438</v>
      </c>
      <c r="F7" s="75"/>
      <c r="G7" s="75"/>
    </row>
    <row r="8" spans="1:7" x14ac:dyDescent="0.25">
      <c r="A8" t="s">
        <v>102</v>
      </c>
      <c r="B8" s="75">
        <f>SUM(B6:B7)</f>
        <v>356</v>
      </c>
      <c r="C8" s="75">
        <f>SUM(C6:C7)</f>
        <v>245</v>
      </c>
      <c r="D8" s="75">
        <f>SUM(D6:D7)</f>
        <v>382</v>
      </c>
      <c r="E8" s="76">
        <f>SUM(B8:D8)</f>
        <v>983</v>
      </c>
      <c r="F8" s="75"/>
      <c r="G8" s="75"/>
    </row>
    <row r="9" spans="1:7" x14ac:dyDescent="0.25">
      <c r="B9" s="75"/>
      <c r="C9" s="75"/>
      <c r="D9" s="75"/>
      <c r="E9" s="75"/>
      <c r="F9" s="75"/>
      <c r="G9" s="75"/>
    </row>
    <row r="10" spans="1:7" x14ac:dyDescent="0.25">
      <c r="B10" s="75"/>
      <c r="C10" s="75"/>
      <c r="D10" s="75"/>
      <c r="E10" s="75"/>
      <c r="F10" s="75"/>
      <c r="G10" s="75"/>
    </row>
    <row r="11" spans="1:7" ht="18" x14ac:dyDescent="0.35">
      <c r="A11" t="s">
        <v>200</v>
      </c>
      <c r="B11" s="75"/>
      <c r="C11" s="75"/>
      <c r="D11" s="75"/>
      <c r="E11" s="75"/>
      <c r="F11" s="75"/>
      <c r="G11" s="75"/>
    </row>
    <row r="12" spans="1:7" x14ac:dyDescent="0.25">
      <c r="B12" s="75"/>
      <c r="C12" s="75"/>
      <c r="D12" s="75"/>
      <c r="E12" s="75"/>
      <c r="F12" s="75"/>
      <c r="G12" s="75"/>
    </row>
    <row r="13" spans="1:7" x14ac:dyDescent="0.25">
      <c r="B13" s="2" t="s">
        <v>100</v>
      </c>
      <c r="C13" s="2" t="s">
        <v>163</v>
      </c>
      <c r="D13" s="2" t="s">
        <v>101</v>
      </c>
      <c r="E13" s="2" t="s">
        <v>102</v>
      </c>
      <c r="F13" s="75"/>
      <c r="G13" s="75"/>
    </row>
    <row r="14" spans="1:7" x14ac:dyDescent="0.25">
      <c r="A14" t="s">
        <v>161</v>
      </c>
      <c r="B14" s="83">
        <f>B16*$E$14/$E$16</f>
        <v>197.37538148524925</v>
      </c>
      <c r="C14" s="92">
        <f>C16*$E$14/$E$16</f>
        <v>135.83418107833162</v>
      </c>
      <c r="D14" s="93">
        <f>D16*$E$14/$E$16</f>
        <v>211.79043743641913</v>
      </c>
      <c r="E14" s="76">
        <f>E6</f>
        <v>545</v>
      </c>
      <c r="F14" s="75"/>
      <c r="G14" s="75"/>
    </row>
    <row r="15" spans="1:7" x14ac:dyDescent="0.25">
      <c r="A15" t="s">
        <v>162</v>
      </c>
      <c r="B15" s="94">
        <f>B16*$E$15/$E$16</f>
        <v>158.62461851475075</v>
      </c>
      <c r="C15" s="95">
        <f>C16*$E$15/$E$16</f>
        <v>109.16581892166836</v>
      </c>
      <c r="D15" s="96">
        <f>D16*$E$15/$E$16</f>
        <v>170.20956256358087</v>
      </c>
      <c r="E15" s="76">
        <f>E7</f>
        <v>438</v>
      </c>
      <c r="F15" s="75"/>
      <c r="G15" s="75"/>
    </row>
    <row r="16" spans="1:7" x14ac:dyDescent="0.25">
      <c r="A16" t="s">
        <v>102</v>
      </c>
      <c r="B16" s="76">
        <f>B8</f>
        <v>356</v>
      </c>
      <c r="C16" s="76">
        <f>C8</f>
        <v>245</v>
      </c>
      <c r="D16" s="76">
        <f>D8</f>
        <v>382</v>
      </c>
      <c r="E16" s="76">
        <f>E8</f>
        <v>983</v>
      </c>
      <c r="F16" s="75"/>
      <c r="G16" s="75"/>
    </row>
    <row r="17" spans="1:7" x14ac:dyDescent="0.25">
      <c r="B17" s="75"/>
      <c r="C17" s="75"/>
      <c r="D17" s="75"/>
      <c r="E17" s="75"/>
      <c r="F17" s="75"/>
      <c r="G17" s="75"/>
    </row>
    <row r="18" spans="1:7" x14ac:dyDescent="0.25">
      <c r="B18" s="75"/>
      <c r="C18" s="75"/>
      <c r="D18" s="75"/>
      <c r="E18" s="75"/>
      <c r="F18" s="75"/>
      <c r="G18" s="75"/>
    </row>
    <row r="19" spans="1:7" x14ac:dyDescent="0.25">
      <c r="A19" t="s">
        <v>201</v>
      </c>
      <c r="B19" s="75"/>
      <c r="C19" s="75"/>
      <c r="D19" s="75"/>
      <c r="E19" s="86"/>
      <c r="F19" s="75"/>
      <c r="G19" s="75"/>
    </row>
    <row r="20" spans="1:7" ht="18.75" x14ac:dyDescent="0.35">
      <c r="A20" t="s">
        <v>164</v>
      </c>
      <c r="B20" s="75"/>
      <c r="C20" s="75"/>
      <c r="D20" s="75"/>
      <c r="E20" s="75"/>
      <c r="F20" s="75"/>
      <c r="G20" s="75"/>
    </row>
    <row r="21" spans="1:7" x14ac:dyDescent="0.25">
      <c r="F21" s="75"/>
      <c r="G21" s="75"/>
    </row>
    <row r="22" spans="1:7" x14ac:dyDescent="0.25">
      <c r="B22" s="2" t="s">
        <v>100</v>
      </c>
      <c r="C22" s="2" t="s">
        <v>163</v>
      </c>
      <c r="D22" s="2" t="s">
        <v>101</v>
      </c>
      <c r="E22" s="2"/>
      <c r="F22" s="75"/>
      <c r="G22" s="75"/>
    </row>
    <row r="23" spans="1:7" x14ac:dyDescent="0.25">
      <c r="A23" t="s">
        <v>161</v>
      </c>
      <c r="B23" s="84">
        <f t="shared" ref="B23:D24" si="0">(B6-B14)^2/B14</f>
        <v>1.7107232025979662</v>
      </c>
      <c r="C23" s="87">
        <f t="shared" si="0"/>
        <v>1.0005830250754338E-2</v>
      </c>
      <c r="D23" s="88">
        <f t="shared" si="0"/>
        <v>1.3984061188726531</v>
      </c>
      <c r="E23" s="76"/>
      <c r="F23" s="75"/>
      <c r="G23" s="75"/>
    </row>
    <row r="24" spans="1:7" x14ac:dyDescent="0.25">
      <c r="A24" t="s">
        <v>162</v>
      </c>
      <c r="B24" s="89">
        <f t="shared" si="0"/>
        <v>2.1286396014061455</v>
      </c>
      <c r="C24" s="90">
        <f t="shared" si="0"/>
        <v>1.2450176910184888E-2</v>
      </c>
      <c r="D24" s="91">
        <f t="shared" si="0"/>
        <v>1.7400258785059268</v>
      </c>
      <c r="E24" s="76"/>
      <c r="F24" s="75"/>
      <c r="G24" s="75"/>
    </row>
    <row r="25" spans="1:7" x14ac:dyDescent="0.25">
      <c r="B25" s="76"/>
      <c r="C25" s="76"/>
      <c r="D25" s="76"/>
      <c r="E25" s="97">
        <f>SUM(B23:D24)</f>
        <v>7.0002508085436306</v>
      </c>
      <c r="F25" s="75"/>
      <c r="G25" s="75"/>
    </row>
    <row r="26" spans="1:7" x14ac:dyDescent="0.25">
      <c r="B26" s="75"/>
      <c r="C26" s="75"/>
      <c r="D26" s="75"/>
      <c r="E26" s="75"/>
      <c r="F26" s="75"/>
      <c r="G26" s="75"/>
    </row>
    <row r="27" spans="1:7" x14ac:dyDescent="0.25">
      <c r="B27" s="75"/>
      <c r="C27" s="75"/>
      <c r="D27" s="75"/>
      <c r="E27" s="75"/>
      <c r="F27" s="75"/>
      <c r="G27" s="75"/>
    </row>
    <row r="28" spans="1:7" x14ac:dyDescent="0.25">
      <c r="A28" t="s">
        <v>202</v>
      </c>
      <c r="B28" s="75"/>
      <c r="C28" s="75"/>
      <c r="D28" s="75"/>
      <c r="E28" s="98">
        <f>CHIDIST(E25,2)</f>
        <v>3.0193596778875294E-2</v>
      </c>
      <c r="F28" s="75"/>
      <c r="G28" s="75"/>
    </row>
    <row r="29" spans="1:7" x14ac:dyDescent="0.25">
      <c r="B29" s="75"/>
      <c r="C29" s="75"/>
      <c r="D29" s="75"/>
      <c r="E29" s="75"/>
      <c r="F29" s="75"/>
      <c r="G29" s="75"/>
    </row>
    <row r="30" spans="1:7" x14ac:dyDescent="0.25">
      <c r="B30" s="75"/>
      <c r="C30" s="75"/>
      <c r="D30" s="75"/>
      <c r="E30" s="75"/>
      <c r="F30" s="75"/>
      <c r="G30" s="75"/>
    </row>
    <row r="31" spans="1:7" x14ac:dyDescent="0.25">
      <c r="B31" s="85"/>
      <c r="C31" s="98"/>
      <c r="D31" s="75"/>
      <c r="E31" s="75"/>
      <c r="F31" s="75"/>
      <c r="G31" s="75"/>
    </row>
    <row r="32" spans="1:7" x14ac:dyDescent="0.25">
      <c r="B32" s="75"/>
      <c r="C32" s="75"/>
      <c r="D32" s="75"/>
      <c r="E32" s="75"/>
      <c r="F32" s="75"/>
      <c r="G32" s="75"/>
    </row>
    <row r="33" spans="2:7" x14ac:dyDescent="0.25">
      <c r="B33" s="75"/>
      <c r="C33" s="75"/>
      <c r="D33" s="75"/>
      <c r="E33" s="75"/>
      <c r="F33" s="75"/>
      <c r="G33" s="75"/>
    </row>
    <row r="34" spans="2:7" x14ac:dyDescent="0.25">
      <c r="B34" s="75"/>
      <c r="C34" s="75"/>
      <c r="D34" s="75"/>
      <c r="E34" s="75"/>
      <c r="F34" s="75"/>
      <c r="G34" s="75"/>
    </row>
    <row r="35" spans="2:7" x14ac:dyDescent="0.25">
      <c r="B35" s="75"/>
      <c r="C35" s="75"/>
      <c r="D35" s="75"/>
      <c r="E35" s="75"/>
      <c r="F35" s="75"/>
      <c r="G35" s="75"/>
    </row>
    <row r="36" spans="2:7" x14ac:dyDescent="0.25">
      <c r="B36" s="75"/>
      <c r="C36" s="75"/>
      <c r="D36" s="75"/>
      <c r="E36" s="75"/>
      <c r="F36" s="75"/>
      <c r="G36" s="75"/>
    </row>
    <row r="37" spans="2:7" x14ac:dyDescent="0.25">
      <c r="B37" s="75"/>
      <c r="C37" s="75"/>
      <c r="D37" s="75"/>
      <c r="E37" s="75"/>
      <c r="F37" s="75"/>
      <c r="G37" s="75"/>
    </row>
    <row r="38" spans="2:7" x14ac:dyDescent="0.25">
      <c r="B38" s="75"/>
      <c r="C38" s="75"/>
      <c r="D38" s="75"/>
      <c r="E38" s="75"/>
      <c r="F38" s="75"/>
      <c r="G38" s="75"/>
    </row>
    <row r="39" spans="2:7" x14ac:dyDescent="0.25">
      <c r="B39" s="75"/>
      <c r="C39" s="75"/>
      <c r="D39" s="75"/>
      <c r="E39" s="75"/>
      <c r="F39" s="75"/>
      <c r="G39" s="75"/>
    </row>
    <row r="40" spans="2:7" x14ac:dyDescent="0.25">
      <c r="B40" s="75"/>
      <c r="C40" s="75"/>
      <c r="D40" s="75"/>
      <c r="E40" s="75"/>
      <c r="F40" s="75"/>
      <c r="G40" s="75"/>
    </row>
    <row r="41" spans="2:7" x14ac:dyDescent="0.25">
      <c r="B41" s="74"/>
      <c r="C41" s="74"/>
      <c r="D41" s="74"/>
      <c r="E41" s="74"/>
      <c r="F41" s="74"/>
      <c r="G41" s="74"/>
    </row>
    <row r="42" spans="2:7" x14ac:dyDescent="0.25">
      <c r="B42" s="74"/>
      <c r="C42" s="74"/>
      <c r="D42" s="74"/>
      <c r="E42" s="74"/>
      <c r="F42" s="74"/>
      <c r="G42" s="74"/>
    </row>
    <row r="43" spans="2:7" x14ac:dyDescent="0.25">
      <c r="B43" s="74"/>
      <c r="C43" s="74"/>
      <c r="D43" s="74"/>
      <c r="E43" s="74"/>
      <c r="F43" s="74"/>
      <c r="G43" s="74"/>
    </row>
    <row r="44" spans="2:7" x14ac:dyDescent="0.25">
      <c r="B44" s="74"/>
      <c r="C44" s="74"/>
      <c r="D44" s="74"/>
      <c r="E44" s="74"/>
      <c r="F44" s="74"/>
      <c r="G44" s="74"/>
    </row>
    <row r="45" spans="2:7" x14ac:dyDescent="0.25">
      <c r="B45" s="74"/>
      <c r="C45" s="74"/>
      <c r="D45" s="74"/>
      <c r="E45" s="74"/>
      <c r="F45" s="74"/>
      <c r="G45" s="74"/>
    </row>
    <row r="46" spans="2:7" x14ac:dyDescent="0.25">
      <c r="B46" s="74"/>
      <c r="C46" s="74"/>
      <c r="D46" s="74"/>
      <c r="E46" s="74"/>
      <c r="F46" s="74"/>
      <c r="G46" s="74"/>
    </row>
    <row r="47" spans="2:7" x14ac:dyDescent="0.25">
      <c r="B47" s="74"/>
      <c r="C47" s="74"/>
      <c r="D47" s="74"/>
      <c r="E47" s="74"/>
      <c r="F47" s="74"/>
      <c r="G47" s="74"/>
    </row>
    <row r="48" spans="2:7" x14ac:dyDescent="0.25">
      <c r="B48" s="74"/>
      <c r="C48" s="74"/>
      <c r="D48" s="74"/>
      <c r="E48" s="74"/>
      <c r="F48" s="74"/>
      <c r="G48" s="74"/>
    </row>
    <row r="49" spans="2:7" x14ac:dyDescent="0.25">
      <c r="B49" s="74"/>
      <c r="C49" s="74"/>
      <c r="D49" s="74"/>
      <c r="E49" s="74"/>
      <c r="F49" s="74"/>
      <c r="G49" s="74"/>
    </row>
    <row r="50" spans="2:7" x14ac:dyDescent="0.25">
      <c r="B50" s="74"/>
      <c r="C50" s="74"/>
      <c r="D50" s="74"/>
      <c r="E50" s="74"/>
      <c r="F50" s="74"/>
      <c r="G50" s="74"/>
    </row>
    <row r="51" spans="2:7" x14ac:dyDescent="0.25">
      <c r="B51" s="74"/>
      <c r="C51" s="74"/>
      <c r="D51" s="74"/>
      <c r="E51" s="74"/>
      <c r="F51" s="74"/>
      <c r="G51" s="74"/>
    </row>
    <row r="52" spans="2:7" x14ac:dyDescent="0.25">
      <c r="B52" s="74"/>
      <c r="C52" s="74"/>
      <c r="D52" s="74"/>
      <c r="E52" s="74"/>
      <c r="F52" s="74"/>
      <c r="G52" s="74"/>
    </row>
    <row r="53" spans="2:7" x14ac:dyDescent="0.25">
      <c r="B53" s="74"/>
      <c r="C53" s="74"/>
      <c r="D53" s="74"/>
      <c r="E53" s="74"/>
      <c r="F53" s="74"/>
      <c r="G53" s="74"/>
    </row>
    <row r="54" spans="2:7" x14ac:dyDescent="0.25">
      <c r="B54" s="74"/>
      <c r="C54" s="74"/>
      <c r="D54" s="74"/>
      <c r="E54" s="74"/>
      <c r="F54" s="74"/>
      <c r="G54" s="74"/>
    </row>
    <row r="55" spans="2:7" x14ac:dyDescent="0.25">
      <c r="B55" s="74"/>
      <c r="C55" s="74"/>
      <c r="D55" s="74"/>
      <c r="E55" s="74"/>
      <c r="F55" s="74"/>
      <c r="G55" s="74"/>
    </row>
    <row r="56" spans="2:7" x14ac:dyDescent="0.25">
      <c r="B56" s="74"/>
      <c r="C56" s="74"/>
      <c r="D56" s="74"/>
      <c r="E56" s="74"/>
      <c r="F56" s="74"/>
      <c r="G56" s="74"/>
    </row>
    <row r="57" spans="2:7" x14ac:dyDescent="0.25">
      <c r="B57" s="74"/>
      <c r="C57" s="74"/>
      <c r="D57" s="74"/>
      <c r="E57" s="74"/>
      <c r="F57" s="74"/>
      <c r="G57" s="74"/>
    </row>
    <row r="58" spans="2:7" x14ac:dyDescent="0.25">
      <c r="B58" s="74"/>
      <c r="C58" s="74"/>
      <c r="D58" s="74"/>
      <c r="E58" s="74"/>
      <c r="F58" s="74"/>
      <c r="G58" s="74"/>
    </row>
    <row r="59" spans="2:7" x14ac:dyDescent="0.25">
      <c r="B59" s="74"/>
      <c r="C59" s="74"/>
      <c r="D59" s="74"/>
      <c r="E59" s="74"/>
      <c r="F59" s="74"/>
      <c r="G59" s="74"/>
    </row>
    <row r="60" spans="2:7" x14ac:dyDescent="0.25">
      <c r="B60" s="74"/>
      <c r="C60" s="74"/>
      <c r="D60" s="74"/>
      <c r="E60" s="74"/>
      <c r="F60" s="74"/>
      <c r="G60" s="74"/>
    </row>
    <row r="61" spans="2:7" x14ac:dyDescent="0.25">
      <c r="B61" s="74"/>
      <c r="C61" s="74"/>
      <c r="D61" s="74"/>
      <c r="E61" s="74"/>
      <c r="F61" s="74"/>
      <c r="G61" s="74"/>
    </row>
    <row r="62" spans="2:7" x14ac:dyDescent="0.25">
      <c r="B62" s="74"/>
      <c r="C62" s="74"/>
      <c r="D62" s="74"/>
      <c r="E62" s="74"/>
      <c r="F62" s="74"/>
      <c r="G62" s="74"/>
    </row>
  </sheetData>
  <phoneticPr fontId="0" type="noConversion"/>
  <hyperlinks>
    <hyperlink ref="C1" location="Meny!A1" tooltip="Gå til arket &quot;Meny&quot;" display="Hovedmeny"/>
  </hyperlinks>
  <pageMargins left="0.7" right="0.7" top="0.78740157499999996" bottom="0.78740157499999996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zoomScale="85" zoomScaleNormal="85" workbookViewId="0">
      <selection activeCell="G1" sqref="G1"/>
    </sheetView>
  </sheetViews>
  <sheetFormatPr defaultColWidth="11.42578125" defaultRowHeight="15" x14ac:dyDescent="0.25"/>
  <cols>
    <col min="1" max="1" width="11.7109375" customWidth="1"/>
    <col min="2" max="2" width="10" customWidth="1"/>
    <col min="3" max="3" width="6" customWidth="1"/>
    <col min="4" max="4" width="1.85546875" customWidth="1"/>
    <col min="5" max="5" width="20.5703125" customWidth="1"/>
  </cols>
  <sheetData>
    <row r="1" spans="1:7" x14ac:dyDescent="0.25">
      <c r="A1" s="1" t="s">
        <v>44</v>
      </c>
      <c r="G1" s="115" t="s">
        <v>126</v>
      </c>
    </row>
    <row r="2" spans="1:7" ht="18" x14ac:dyDescent="0.35">
      <c r="B2" s="6" t="s">
        <v>45</v>
      </c>
      <c r="C2" s="6">
        <v>4</v>
      </c>
      <c r="E2" s="6" t="s">
        <v>46</v>
      </c>
    </row>
    <row r="3" spans="1:7" ht="18" x14ac:dyDescent="0.35">
      <c r="B3" s="6" t="s">
        <v>47</v>
      </c>
      <c r="C3" s="6">
        <v>9</v>
      </c>
      <c r="E3" s="25">
        <f>FINV(C4,C2,C3)</f>
        <v>3.6330885114190816</v>
      </c>
    </row>
    <row r="4" spans="1:7" x14ac:dyDescent="0.25">
      <c r="B4" s="6" t="s">
        <v>48</v>
      </c>
      <c r="C4" s="6">
        <v>0.05</v>
      </c>
    </row>
  </sheetData>
  <phoneticPr fontId="0" type="noConversion"/>
  <hyperlinks>
    <hyperlink ref="G1" location="Meny!A1" tooltip="Gå til arket &quot;Meny&quot;" display="Hovedmeny"/>
  </hyperlinks>
  <pageMargins left="0.7" right="0.7" top="0.78740157499999996" bottom="0.78740157499999996" header="0.3" footer="0.3"/>
  <pageSetup paperSize="9" orientation="portrait" horizontalDpi="4294967292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A29" sqref="A29"/>
    </sheetView>
  </sheetViews>
  <sheetFormatPr defaultColWidth="11.42578125" defaultRowHeight="12.75" x14ac:dyDescent="0.2"/>
  <cols>
    <col min="1" max="1" width="17" style="61" customWidth="1"/>
    <col min="2" max="16384" width="11.42578125" style="61"/>
  </cols>
  <sheetData>
    <row r="1" spans="1:9" ht="15" x14ac:dyDescent="0.25">
      <c r="A1" s="71" t="s">
        <v>116</v>
      </c>
      <c r="C1" s="115" t="s">
        <v>126</v>
      </c>
    </row>
    <row r="2" spans="1:9" ht="15.75" x14ac:dyDescent="0.3">
      <c r="A2" s="61" t="s">
        <v>119</v>
      </c>
    </row>
    <row r="4" spans="1:9" x14ac:dyDescent="0.2">
      <c r="B4" s="61" t="s">
        <v>120</v>
      </c>
      <c r="C4" s="61" t="s">
        <v>121</v>
      </c>
      <c r="E4" s="61" t="s">
        <v>75</v>
      </c>
      <c r="H4" s="61" t="s">
        <v>152</v>
      </c>
    </row>
    <row r="5" spans="1:9" ht="15.75" x14ac:dyDescent="0.3">
      <c r="B5" s="61">
        <v>44.7</v>
      </c>
      <c r="C5" s="61">
        <v>43.5</v>
      </c>
      <c r="E5" s="62" t="s">
        <v>89</v>
      </c>
      <c r="F5" s="70">
        <f>VAR(B5:B10)</f>
        <v>1.3416666666666661</v>
      </c>
      <c r="H5" s="62" t="s">
        <v>90</v>
      </c>
      <c r="I5" s="62" t="s">
        <v>91</v>
      </c>
    </row>
    <row r="6" spans="1:9" ht="15.75" x14ac:dyDescent="0.3">
      <c r="B6" s="61">
        <v>43.6</v>
      </c>
      <c r="C6" s="61">
        <v>41.9</v>
      </c>
      <c r="E6" s="62" t="s">
        <v>92</v>
      </c>
      <c r="F6" s="70">
        <f>VAR(C5:C12)</f>
        <v>1.0141071428571438</v>
      </c>
      <c r="H6" s="61">
        <f>F5/F6</f>
        <v>1.3230028760932071</v>
      </c>
      <c r="I6" s="61">
        <f>FINV(0.025,5,7)</f>
        <v>5.285236851504278</v>
      </c>
    </row>
    <row r="7" spans="1:9" ht="15.75" x14ac:dyDescent="0.3">
      <c r="B7" s="61">
        <v>42.6</v>
      </c>
      <c r="C7" s="61">
        <v>42.1</v>
      </c>
      <c r="H7" s="61" t="s">
        <v>122</v>
      </c>
    </row>
    <row r="8" spans="1:9" x14ac:dyDescent="0.2">
      <c r="B8" s="61">
        <v>45.5</v>
      </c>
      <c r="C8" s="61">
        <v>42.4</v>
      </c>
    </row>
    <row r="9" spans="1:9" x14ac:dyDescent="0.2">
      <c r="B9" s="61">
        <v>44.8</v>
      </c>
      <c r="C9" s="61">
        <v>43.2</v>
      </c>
      <c r="E9" s="63"/>
      <c r="H9" s="61" t="s">
        <v>123</v>
      </c>
    </row>
    <row r="10" spans="1:9" x14ac:dyDescent="0.2">
      <c r="B10" s="61">
        <v>42.9</v>
      </c>
      <c r="C10" s="64">
        <v>44</v>
      </c>
      <c r="H10" s="116">
        <f>2*FDIST(H6,B17-1,C17-1)</f>
        <v>0.70913230970270213</v>
      </c>
    </row>
    <row r="11" spans="1:9" x14ac:dyDescent="0.2">
      <c r="C11" s="61">
        <v>41.9</v>
      </c>
      <c r="E11" s="62"/>
      <c r="F11" s="65"/>
    </row>
    <row r="12" spans="1:9" x14ac:dyDescent="0.2">
      <c r="C12" s="61">
        <v>44.5</v>
      </c>
      <c r="H12" s="62"/>
      <c r="I12" s="65"/>
    </row>
    <row r="14" spans="1:9" x14ac:dyDescent="0.2">
      <c r="A14" s="61" t="s">
        <v>194</v>
      </c>
      <c r="B14" s="69">
        <f>AVERAGE(B5:B10)</f>
        <v>44.016666666666659</v>
      </c>
      <c r="C14" s="69">
        <f>AVERAGE(C5:C12)</f>
        <v>42.9375</v>
      </c>
    </row>
    <row r="16" spans="1:9" ht="15.75" x14ac:dyDescent="0.3">
      <c r="B16" s="66" t="s">
        <v>96</v>
      </c>
      <c r="C16" s="66" t="s">
        <v>97</v>
      </c>
    </row>
    <row r="17" spans="1:5" x14ac:dyDescent="0.2">
      <c r="B17" s="68">
        <v>6</v>
      </c>
      <c r="C17" s="68">
        <v>8</v>
      </c>
    </row>
    <row r="18" spans="1:5" x14ac:dyDescent="0.2">
      <c r="B18" s="68"/>
      <c r="C18" s="68"/>
    </row>
    <row r="19" spans="1:5" x14ac:dyDescent="0.2">
      <c r="B19" s="66"/>
      <c r="C19" s="68"/>
      <c r="E19" s="71"/>
    </row>
    <row r="20" spans="1:5" ht="15" x14ac:dyDescent="0.25">
      <c r="A20" s="61" t="s">
        <v>203</v>
      </c>
      <c r="B20"/>
      <c r="C20"/>
    </row>
    <row r="21" spans="1:5" ht="15.75" thickBot="1" x14ac:dyDescent="0.3">
      <c r="A21" t="s">
        <v>124</v>
      </c>
      <c r="B21"/>
      <c r="C21"/>
    </row>
    <row r="22" spans="1:5" ht="15" x14ac:dyDescent="0.25">
      <c r="A22" s="99"/>
      <c r="B22" s="99" t="s">
        <v>26</v>
      </c>
      <c r="C22" s="99" t="s">
        <v>27</v>
      </c>
    </row>
    <row r="23" spans="1:5" ht="15" x14ac:dyDescent="0.25">
      <c r="A23" s="19" t="s">
        <v>125</v>
      </c>
      <c r="B23" s="19">
        <v>44.016666666666659</v>
      </c>
      <c r="C23" s="19">
        <v>42.9375</v>
      </c>
    </row>
    <row r="24" spans="1:5" ht="15" x14ac:dyDescent="0.25">
      <c r="A24" s="19" t="s">
        <v>28</v>
      </c>
      <c r="B24" s="19">
        <v>1.3416666666671517</v>
      </c>
      <c r="C24" s="19">
        <v>1.0141071428572883</v>
      </c>
    </row>
    <row r="25" spans="1:5" ht="15" x14ac:dyDescent="0.25">
      <c r="A25" s="19" t="s">
        <v>127</v>
      </c>
      <c r="B25" s="19">
        <v>6</v>
      </c>
      <c r="C25" s="19">
        <v>8</v>
      </c>
    </row>
    <row r="26" spans="1:5" ht="15" x14ac:dyDescent="0.25">
      <c r="A26" s="19" t="s">
        <v>29</v>
      </c>
      <c r="B26" s="19">
        <v>5</v>
      </c>
      <c r="C26" s="19">
        <v>7</v>
      </c>
    </row>
    <row r="27" spans="1:5" ht="15" x14ac:dyDescent="0.25">
      <c r="A27" s="19" t="s">
        <v>62</v>
      </c>
      <c r="B27" s="19">
        <v>1.3230028760934975</v>
      </c>
      <c r="C27" s="19"/>
    </row>
    <row r="28" spans="1:5" ht="15" x14ac:dyDescent="0.25">
      <c r="A28" s="19" t="s">
        <v>72</v>
      </c>
      <c r="B28" s="19">
        <v>0.35456615366546068</v>
      </c>
      <c r="C28" s="19"/>
    </row>
    <row r="29" spans="1:5" ht="15.75" thickBot="1" x14ac:dyDescent="0.3">
      <c r="A29" s="22" t="s">
        <v>73</v>
      </c>
      <c r="B29" s="22">
        <v>3.9715231505921897</v>
      </c>
      <c r="C29" s="22"/>
    </row>
  </sheetData>
  <hyperlinks>
    <hyperlink ref="C1" location="Meny!A1" tooltip="Gå til arket &quot;Meny&quot;" display="Hovedmeny"/>
  </hyperlink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="85" zoomScaleNormal="85" workbookViewId="0">
      <selection activeCell="G45" sqref="G45"/>
    </sheetView>
  </sheetViews>
  <sheetFormatPr defaultColWidth="11.42578125" defaultRowHeight="15" x14ac:dyDescent="0.25"/>
  <cols>
    <col min="1" max="1" width="17.42578125" customWidth="1"/>
    <col min="4" max="4" width="13.140625" customWidth="1"/>
    <col min="8" max="8" width="15.5703125" customWidth="1"/>
    <col min="9" max="9" width="12" bestFit="1" customWidth="1"/>
  </cols>
  <sheetData>
    <row r="1" spans="1:10" x14ac:dyDescent="0.25">
      <c r="A1" s="1" t="s">
        <v>165</v>
      </c>
      <c r="C1" s="115" t="s">
        <v>126</v>
      </c>
    </row>
    <row r="3" spans="1:10" x14ac:dyDescent="0.25">
      <c r="C3" t="s">
        <v>166</v>
      </c>
    </row>
    <row r="4" spans="1:10" x14ac:dyDescent="0.25">
      <c r="C4" s="6">
        <v>1</v>
      </c>
      <c r="D4" s="6">
        <v>2</v>
      </c>
      <c r="E4" s="6">
        <v>3</v>
      </c>
      <c r="F4" s="6">
        <v>4</v>
      </c>
      <c r="G4" s="6">
        <v>5</v>
      </c>
      <c r="H4" t="s">
        <v>125</v>
      </c>
    </row>
    <row r="5" spans="1:10" x14ac:dyDescent="0.25">
      <c r="A5" s="6" t="s">
        <v>49</v>
      </c>
      <c r="B5" s="26">
        <v>1</v>
      </c>
      <c r="C5" s="27">
        <v>6.61</v>
      </c>
      <c r="D5" s="28">
        <v>6.55</v>
      </c>
      <c r="E5" s="28">
        <v>6.61</v>
      </c>
      <c r="F5" s="28">
        <v>6.49</v>
      </c>
      <c r="G5" s="29"/>
      <c r="H5" s="30">
        <f>AVERAGE(C5:G5)</f>
        <v>6.5649999999999995</v>
      </c>
      <c r="I5" s="31"/>
      <c r="J5">
        <f>4*(H5-$H$9)^2</f>
        <v>7.3501234567900128E-2</v>
      </c>
    </row>
    <row r="6" spans="1:10" x14ac:dyDescent="0.25">
      <c r="A6" s="6"/>
      <c r="B6" s="26">
        <v>2</v>
      </c>
      <c r="C6" s="32">
        <v>6.44</v>
      </c>
      <c r="D6" s="33">
        <v>6.71</v>
      </c>
      <c r="E6" s="33">
        <v>6.67</v>
      </c>
      <c r="F6" s="33">
        <v>6.62</v>
      </c>
      <c r="G6" s="34"/>
      <c r="H6" s="35">
        <f>AVERAGE(C6:G6)</f>
        <v>6.61</v>
      </c>
      <c r="I6" s="31"/>
      <c r="J6">
        <f>4*(H6-$H$9)^2</f>
        <v>0.13040123456790095</v>
      </c>
    </row>
    <row r="7" spans="1:10" x14ac:dyDescent="0.25">
      <c r="A7" s="6"/>
      <c r="B7" s="26">
        <v>3</v>
      </c>
      <c r="C7" s="32">
        <v>5.88</v>
      </c>
      <c r="D7" s="33">
        <v>5.98</v>
      </c>
      <c r="E7" s="33">
        <v>5.74</v>
      </c>
      <c r="F7" s="33">
        <v>5.95</v>
      </c>
      <c r="G7" s="34">
        <v>6.01</v>
      </c>
      <c r="H7" s="36">
        <f>AVERAGE(C7:G7)</f>
        <v>5.9120000000000008</v>
      </c>
      <c r="I7" s="31"/>
      <c r="J7">
        <f>5*(H7-$H$9)^2</f>
        <v>1.3387437654320973</v>
      </c>
    </row>
    <row r="8" spans="1:10" x14ac:dyDescent="0.25">
      <c r="A8" s="6"/>
      <c r="B8" s="26">
        <v>4</v>
      </c>
      <c r="C8" s="37">
        <v>6.6</v>
      </c>
      <c r="D8" s="38">
        <v>6.65</v>
      </c>
      <c r="E8" s="38">
        <v>6.78</v>
      </c>
      <c r="F8" s="38">
        <v>6.69</v>
      </c>
      <c r="G8" s="39">
        <v>6.75</v>
      </c>
      <c r="H8" s="40">
        <f>AVERAGE(C8:G8)</f>
        <v>6.694</v>
      </c>
      <c r="I8" s="31"/>
      <c r="J8">
        <f>5*(H8-$H$9)^2</f>
        <v>0.34994820987654168</v>
      </c>
    </row>
    <row r="9" spans="1:10" x14ac:dyDescent="0.25">
      <c r="C9" s="41"/>
      <c r="D9" s="41"/>
      <c r="E9" s="41"/>
      <c r="F9" s="41"/>
      <c r="G9" s="6" t="s">
        <v>204</v>
      </c>
      <c r="H9" s="42">
        <f>AVERAGE(C5:G8)</f>
        <v>6.429444444444445</v>
      </c>
      <c r="I9" s="31"/>
    </row>
    <row r="10" spans="1:10" x14ac:dyDescent="0.25">
      <c r="C10" s="6"/>
      <c r="D10" s="6"/>
      <c r="E10" s="6"/>
      <c r="F10" s="6"/>
      <c r="G10" s="6"/>
      <c r="H10" s="6"/>
    </row>
    <row r="11" spans="1:10" ht="18" x14ac:dyDescent="0.35">
      <c r="I11" s="43" t="s">
        <v>65</v>
      </c>
      <c r="J11" s="13">
        <f>SUM(J5:J8)</f>
        <v>1.89259444444444</v>
      </c>
    </row>
    <row r="12" spans="1:10" ht="18.75" x14ac:dyDescent="0.35">
      <c r="B12" t="s">
        <v>167</v>
      </c>
      <c r="I12" s="43" t="s">
        <v>66</v>
      </c>
      <c r="J12" s="13">
        <f>J11/3</f>
        <v>0.63086481481481338</v>
      </c>
    </row>
    <row r="13" spans="1:10" x14ac:dyDescent="0.25">
      <c r="C13" s="6">
        <v>1</v>
      </c>
      <c r="D13" s="6">
        <v>2</v>
      </c>
      <c r="E13" s="6">
        <v>3</v>
      </c>
      <c r="F13" s="6">
        <v>4</v>
      </c>
      <c r="G13" s="6">
        <v>5</v>
      </c>
    </row>
    <row r="14" spans="1:10" x14ac:dyDescent="0.25">
      <c r="B14" s="44">
        <v>1</v>
      </c>
      <c r="C14" s="27">
        <f>(C5-$H$5)^2</f>
        <v>2.0250000000000736E-3</v>
      </c>
      <c r="D14" s="28">
        <f>(D5-$H$5)^2</f>
        <v>2.249999999999904E-4</v>
      </c>
      <c r="E14" s="28">
        <f>(E5-$H$5)^2</f>
        <v>2.0250000000000736E-3</v>
      </c>
      <c r="F14" s="28">
        <f>(F5-$H$5)^2</f>
        <v>5.6249999999998931E-3</v>
      </c>
      <c r="G14" s="29"/>
    </row>
    <row r="15" spans="1:10" x14ac:dyDescent="0.25">
      <c r="B15" s="44">
        <v>2</v>
      </c>
      <c r="C15" s="32">
        <f>(C6-$H$6)^2</f>
        <v>2.8899999999999974E-2</v>
      </c>
      <c r="D15" s="33">
        <f>(D6-$H$6)^2</f>
        <v>9.9999999999999291E-3</v>
      </c>
      <c r="E15" s="33">
        <f>(E6-$H$6)^2</f>
        <v>3.5999999999999531E-3</v>
      </c>
      <c r="F15" s="33">
        <f>(F6-$H$6)^2</f>
        <v>9.9999999999995736E-5</v>
      </c>
      <c r="G15" s="34"/>
      <c r="I15" t="s">
        <v>50</v>
      </c>
    </row>
    <row r="16" spans="1:10" x14ac:dyDescent="0.25">
      <c r="B16" s="44">
        <v>3</v>
      </c>
      <c r="C16" s="32">
        <f>(C7-$H$7)^2</f>
        <v>1.0240000000000587E-3</v>
      </c>
      <c r="D16" s="33">
        <f>(D7-$H$7)^2</f>
        <v>4.6239999999999476E-3</v>
      </c>
      <c r="E16" s="33">
        <f>(E7-$H$7)^2</f>
        <v>2.9584000000000204E-2</v>
      </c>
      <c r="F16" s="33">
        <f>(F7-$H$7)^2</f>
        <v>1.4439999999999518E-3</v>
      </c>
      <c r="G16" s="34">
        <f>(G7-$H$7)^2</f>
        <v>9.6039999999998002E-3</v>
      </c>
    </row>
    <row r="17" spans="1:10" ht="18" x14ac:dyDescent="0.35">
      <c r="B17" s="44">
        <v>4</v>
      </c>
      <c r="C17" s="45">
        <f>(C8-$H$8)^2</f>
        <v>8.8360000000000574E-3</v>
      </c>
      <c r="D17" s="38">
        <f>(D8-$H$8)^2</f>
        <v>1.9359999999999644E-3</v>
      </c>
      <c r="E17" s="38">
        <f>(E8-$H$8)^2</f>
        <v>7.396000000000051E-3</v>
      </c>
      <c r="F17" s="38">
        <f>(F8-$H$8)^2</f>
        <v>1.5999999999996476E-5</v>
      </c>
      <c r="G17" s="39">
        <f>(G8-$H$8)^2</f>
        <v>3.1360000000000055E-3</v>
      </c>
      <c r="I17" t="s">
        <v>67</v>
      </c>
      <c r="J17" s="12">
        <f>J12/D20</f>
        <v>73.539612051685197</v>
      </c>
    </row>
    <row r="19" spans="1:10" ht="18" x14ac:dyDescent="0.35">
      <c r="C19" s="46" t="s">
        <v>68</v>
      </c>
      <c r="D19">
        <f>SUM(C14:G17)</f>
        <v>0.12009999999999992</v>
      </c>
      <c r="I19" t="s">
        <v>117</v>
      </c>
      <c r="J19">
        <f>FINV(0.05,3,14)</f>
        <v>3.3438886781189128</v>
      </c>
    </row>
    <row r="20" spans="1:10" ht="18.75" x14ac:dyDescent="0.35">
      <c r="C20" s="43" t="s">
        <v>69</v>
      </c>
      <c r="D20" s="47">
        <f>D19/(18-4)</f>
        <v>8.5785714285714233E-3</v>
      </c>
    </row>
    <row r="21" spans="1:10" x14ac:dyDescent="0.25">
      <c r="I21" t="s">
        <v>157</v>
      </c>
    </row>
    <row r="22" spans="1:10" ht="18" x14ac:dyDescent="0.35">
      <c r="B22" t="s">
        <v>168</v>
      </c>
      <c r="I22" s="48">
        <f>FDIST(J17,3,14)</f>
        <v>8.2400080600349761E-9</v>
      </c>
    </row>
    <row r="23" spans="1:10" x14ac:dyDescent="0.25">
      <c r="C23" s="6">
        <v>1</v>
      </c>
      <c r="D23" s="6">
        <v>2</v>
      </c>
      <c r="E23" s="6">
        <v>3</v>
      </c>
      <c r="F23" s="6">
        <v>4</v>
      </c>
      <c r="G23" s="6">
        <v>5</v>
      </c>
    </row>
    <row r="24" spans="1:10" x14ac:dyDescent="0.25">
      <c r="B24" s="44">
        <v>1</v>
      </c>
      <c r="C24" s="27">
        <f t="shared" ref="C24:F27" si="0">(C5-$H$9)^2</f>
        <v>3.2600308641975238E-2</v>
      </c>
      <c r="D24" s="28">
        <f t="shared" si="0"/>
        <v>1.4533641975308475E-2</v>
      </c>
      <c r="E24" s="28">
        <f t="shared" si="0"/>
        <v>3.2600308641975238E-2</v>
      </c>
      <c r="F24" s="28">
        <f t="shared" si="0"/>
        <v>3.6669753086419387E-3</v>
      </c>
      <c r="G24" s="29"/>
    </row>
    <row r="25" spans="1:10" x14ac:dyDescent="0.25">
      <c r="B25" s="44">
        <v>2</v>
      </c>
      <c r="C25" s="32">
        <f t="shared" si="0"/>
        <v>1.1141975308641709E-4</v>
      </c>
      <c r="D25" s="33">
        <f t="shared" si="0"/>
        <v>7.8711419753086112E-2</v>
      </c>
      <c r="E25" s="33">
        <f t="shared" si="0"/>
        <v>5.786697530864169E-2</v>
      </c>
      <c r="F25" s="33">
        <f t="shared" si="0"/>
        <v>3.6311419753086265E-2</v>
      </c>
      <c r="G25" s="34"/>
    </row>
    <row r="26" spans="1:10" x14ac:dyDescent="0.25">
      <c r="B26" s="44">
        <v>3</v>
      </c>
      <c r="C26" s="32">
        <f t="shared" si="0"/>
        <v>0.30188919753086491</v>
      </c>
      <c r="D26" s="33">
        <f t="shared" si="0"/>
        <v>0.20200030864197538</v>
      </c>
      <c r="E26" s="33">
        <f t="shared" si="0"/>
        <v>0.47533364197530908</v>
      </c>
      <c r="F26" s="33">
        <f t="shared" si="0"/>
        <v>0.22986697530864231</v>
      </c>
      <c r="G26" s="34">
        <f>(G7-$H$9)^2</f>
        <v>0.17593364197530925</v>
      </c>
    </row>
    <row r="27" spans="1:10" x14ac:dyDescent="0.25">
      <c r="B27" s="44">
        <v>4</v>
      </c>
      <c r="C27" s="45">
        <f t="shared" si="0"/>
        <v>2.9089197530863899E-2</v>
      </c>
      <c r="D27" s="38">
        <f t="shared" si="0"/>
        <v>4.8644753086419683E-2</v>
      </c>
      <c r="E27" s="38">
        <f t="shared" si="0"/>
        <v>0.12288919753086401</v>
      </c>
      <c r="F27" s="38">
        <f t="shared" si="0"/>
        <v>6.7889197530864129E-2</v>
      </c>
      <c r="G27" s="39">
        <f>(G8-$H$9)^2</f>
        <v>0.10275586419753054</v>
      </c>
    </row>
    <row r="29" spans="1:10" ht="18" x14ac:dyDescent="0.35">
      <c r="C29" s="46" t="s">
        <v>70</v>
      </c>
      <c r="D29" s="49">
        <f>SUM(C24:G27)</f>
        <v>2.0126944444444441</v>
      </c>
      <c r="E29" s="50"/>
      <c r="F29" s="50"/>
    </row>
    <row r="30" spans="1:10" ht="18.75" x14ac:dyDescent="0.35">
      <c r="C30" s="43" t="s">
        <v>71</v>
      </c>
      <c r="D30" s="13">
        <f>D29/(18-1)</f>
        <v>0.11839379084967318</v>
      </c>
    </row>
    <row r="32" spans="1:10" x14ac:dyDescent="0.25">
      <c r="A32" s="2" t="s">
        <v>138</v>
      </c>
    </row>
    <row r="34" spans="1:7" x14ac:dyDescent="0.25">
      <c r="A34" t="s">
        <v>51</v>
      </c>
    </row>
    <row r="36" spans="1:7" ht="15.75" thickBot="1" x14ac:dyDescent="0.3">
      <c r="A36" t="s">
        <v>52</v>
      </c>
    </row>
    <row r="37" spans="1:7" x14ac:dyDescent="0.25">
      <c r="A37" s="18" t="s">
        <v>53</v>
      </c>
      <c r="B37" s="18" t="s">
        <v>169</v>
      </c>
      <c r="C37" s="18" t="s">
        <v>54</v>
      </c>
      <c r="D37" s="18" t="s">
        <v>125</v>
      </c>
      <c r="E37" s="18" t="s">
        <v>28</v>
      </c>
    </row>
    <row r="38" spans="1:7" x14ac:dyDescent="0.25">
      <c r="A38" s="19" t="s">
        <v>55</v>
      </c>
      <c r="B38" s="19">
        <v>4</v>
      </c>
      <c r="C38" s="19">
        <v>26.259999999999998</v>
      </c>
      <c r="D38" s="19">
        <v>6.5649999999999995</v>
      </c>
      <c r="E38" s="19">
        <v>3.30000000000001E-3</v>
      </c>
    </row>
    <row r="39" spans="1:7" x14ac:dyDescent="0.25">
      <c r="A39" s="19" t="s">
        <v>56</v>
      </c>
      <c r="B39" s="19">
        <v>4</v>
      </c>
      <c r="C39" s="19">
        <v>26.44</v>
      </c>
      <c r="D39" s="19">
        <v>6.61</v>
      </c>
      <c r="E39" s="19">
        <v>1.4199999999997695E-2</v>
      </c>
    </row>
    <row r="40" spans="1:7" x14ac:dyDescent="0.25">
      <c r="A40" s="19" t="s">
        <v>57</v>
      </c>
      <c r="B40" s="19">
        <v>5</v>
      </c>
      <c r="C40" s="19">
        <v>29.560000000000002</v>
      </c>
      <c r="D40" s="19">
        <v>5.9120000000000008</v>
      </c>
      <c r="E40" s="19">
        <v>1.156999999999897E-2</v>
      </c>
    </row>
    <row r="41" spans="1:7" ht="15.75" thickBot="1" x14ac:dyDescent="0.3">
      <c r="A41" s="22" t="s">
        <v>58</v>
      </c>
      <c r="B41" s="22">
        <v>5</v>
      </c>
      <c r="C41" s="22">
        <v>33.47</v>
      </c>
      <c r="D41" s="22">
        <v>6.694</v>
      </c>
      <c r="E41" s="22">
        <v>5.3300000000000188E-3</v>
      </c>
    </row>
    <row r="44" spans="1:7" ht="15.75" thickBot="1" x14ac:dyDescent="0.3">
      <c r="A44" t="s">
        <v>59</v>
      </c>
    </row>
    <row r="45" spans="1:7" x14ac:dyDescent="0.25">
      <c r="A45" s="18" t="s">
        <v>170</v>
      </c>
      <c r="B45" s="18" t="s">
        <v>60</v>
      </c>
      <c r="C45" s="18" t="s">
        <v>29</v>
      </c>
      <c r="D45" s="18" t="s">
        <v>61</v>
      </c>
      <c r="E45" s="18" t="s">
        <v>62</v>
      </c>
      <c r="F45" s="18" t="s">
        <v>183</v>
      </c>
      <c r="G45" s="18" t="s">
        <v>63</v>
      </c>
    </row>
    <row r="46" spans="1:7" x14ac:dyDescent="0.25">
      <c r="A46" s="19" t="s">
        <v>171</v>
      </c>
      <c r="B46" s="20">
        <v>1.8925944444444442</v>
      </c>
      <c r="C46" s="19">
        <v>3</v>
      </c>
      <c r="D46" s="20">
        <v>0.63086481481481471</v>
      </c>
      <c r="E46" s="20">
        <v>73.539612051685353</v>
      </c>
      <c r="F46" s="19">
        <v>8.2400080604767154E-9</v>
      </c>
      <c r="G46" s="19">
        <v>3.3438886807214594</v>
      </c>
    </row>
    <row r="47" spans="1:7" x14ac:dyDescent="0.25">
      <c r="A47" s="19" t="s">
        <v>172</v>
      </c>
      <c r="B47" s="20">
        <v>0.12009999999999992</v>
      </c>
      <c r="C47" s="19">
        <v>14</v>
      </c>
      <c r="D47" s="51">
        <v>8.5785714285714233E-3</v>
      </c>
      <c r="E47" s="19"/>
      <c r="F47" s="19"/>
      <c r="G47" s="19"/>
    </row>
    <row r="48" spans="1:7" x14ac:dyDescent="0.25">
      <c r="A48" s="19"/>
      <c r="B48" s="20"/>
      <c r="C48" s="19"/>
      <c r="D48" s="19"/>
      <c r="E48" s="19"/>
      <c r="F48" s="19"/>
      <c r="G48" s="19"/>
    </row>
    <row r="49" spans="1:7" ht="15.75" thickBot="1" x14ac:dyDescent="0.3">
      <c r="A49" s="22" t="s">
        <v>64</v>
      </c>
      <c r="B49" s="23">
        <v>2.0126944444444441</v>
      </c>
      <c r="C49" s="22">
        <v>17</v>
      </c>
      <c r="D49" s="22"/>
      <c r="E49" s="22"/>
      <c r="F49" s="22"/>
      <c r="G49" s="22"/>
    </row>
  </sheetData>
  <phoneticPr fontId="0" type="noConversion"/>
  <hyperlinks>
    <hyperlink ref="C1" location="Meny!A1" tooltip="Gå til arket &quot;Meny&quot;" display="Hovedmeny"/>
  </hyperlinks>
  <pageMargins left="0.7" right="0.7" top="0.78740157499999996" bottom="0.78740157499999996" header="0.3" footer="0.3"/>
  <headerFooter alignWithMargins="0"/>
  <ignoredErrors>
    <ignoredError sqref="H5:H8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opLeftCell="A13" zoomScale="130" workbookViewId="0">
      <selection activeCell="A11" sqref="A11"/>
    </sheetView>
  </sheetViews>
  <sheetFormatPr defaultColWidth="11.42578125" defaultRowHeight="12.75" x14ac:dyDescent="0.2"/>
  <cols>
    <col min="1" max="1" width="11.42578125" style="100"/>
    <col min="2" max="9" width="7.7109375" style="100" customWidth="1"/>
    <col min="10" max="16384" width="11.42578125" style="100"/>
  </cols>
  <sheetData>
    <row r="1" spans="1:22" ht="15" x14ac:dyDescent="0.25">
      <c r="A1" s="103" t="s">
        <v>173</v>
      </c>
      <c r="K1" s="115" t="s">
        <v>126</v>
      </c>
    </row>
    <row r="2" spans="1:22" x14ac:dyDescent="0.2"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x14ac:dyDescent="0.2">
      <c r="B3" s="100" t="s">
        <v>103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1:22" x14ac:dyDescent="0.2">
      <c r="A4" s="100" t="s">
        <v>104</v>
      </c>
      <c r="B4" s="100">
        <v>1</v>
      </c>
      <c r="C4" s="100">
        <v>2</v>
      </c>
      <c r="D4" s="100">
        <v>3</v>
      </c>
      <c r="E4" s="100">
        <v>4</v>
      </c>
      <c r="F4" s="100">
        <v>5</v>
      </c>
      <c r="G4" s="100">
        <v>6</v>
      </c>
      <c r="H4" s="100">
        <v>7</v>
      </c>
      <c r="I4" s="100">
        <v>8</v>
      </c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</row>
    <row r="5" spans="1:22" x14ac:dyDescent="0.2">
      <c r="A5" s="100">
        <v>1</v>
      </c>
      <c r="B5" s="104">
        <v>7.75</v>
      </c>
      <c r="C5" s="104">
        <v>7.85</v>
      </c>
      <c r="D5" s="104">
        <v>7.81</v>
      </c>
      <c r="E5" s="104">
        <v>7.92</v>
      </c>
      <c r="F5" s="104">
        <v>7.83</v>
      </c>
      <c r="G5" s="104">
        <v>7.79</v>
      </c>
      <c r="H5" s="104">
        <v>7.8</v>
      </c>
      <c r="I5" s="104">
        <v>7.88</v>
      </c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</row>
    <row r="6" spans="1:22" x14ac:dyDescent="0.2">
      <c r="A6" s="100">
        <v>2</v>
      </c>
      <c r="B6" s="104">
        <v>7.58</v>
      </c>
      <c r="C6" s="104">
        <v>7.73</v>
      </c>
      <c r="D6" s="104">
        <v>7.61</v>
      </c>
      <c r="E6" s="104">
        <v>7.55</v>
      </c>
      <c r="F6" s="104">
        <v>7.75</v>
      </c>
      <c r="G6" s="104">
        <v>7.58</v>
      </c>
      <c r="H6" s="104">
        <v>7.63</v>
      </c>
      <c r="I6" s="104">
        <v>7.61</v>
      </c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1:22" x14ac:dyDescent="0.2">
      <c r="A7" s="100">
        <v>3</v>
      </c>
      <c r="B7" s="104">
        <v>7.85</v>
      </c>
      <c r="C7" s="104">
        <v>7.73</v>
      </c>
      <c r="D7" s="104">
        <v>7.66</v>
      </c>
      <c r="E7" s="104">
        <v>7.7</v>
      </c>
      <c r="F7" s="104">
        <v>7.82</v>
      </c>
      <c r="G7" s="104">
        <v>7.69</v>
      </c>
      <c r="H7" s="104">
        <v>7.78</v>
      </c>
      <c r="I7" s="104">
        <v>7.65</v>
      </c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</row>
    <row r="8" spans="1:22" x14ac:dyDescent="0.2">
      <c r="A8" s="100">
        <v>4</v>
      </c>
      <c r="B8" s="104">
        <v>7.72</v>
      </c>
      <c r="C8" s="104">
        <v>7.68</v>
      </c>
      <c r="D8" s="104">
        <v>7.73</v>
      </c>
      <c r="E8" s="104">
        <v>7.79</v>
      </c>
      <c r="F8" s="104">
        <v>7.6</v>
      </c>
      <c r="G8" s="104">
        <v>7.65</v>
      </c>
      <c r="H8" s="104">
        <v>7.75</v>
      </c>
      <c r="I8" s="104">
        <v>7.69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</row>
    <row r="9" spans="1:22" x14ac:dyDescent="0.2"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</row>
    <row r="10" spans="1:22" x14ac:dyDescent="0.2"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</row>
    <row r="11" spans="1:22" ht="15" x14ac:dyDescent="0.25">
      <c r="A11" s="100" t="s">
        <v>206</v>
      </c>
      <c r="F11" s="105" t="s">
        <v>105</v>
      </c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</row>
    <row r="12" spans="1:22" ht="13.5" thickBot="1" x14ac:dyDescent="0.25"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</row>
    <row r="13" spans="1:22" x14ac:dyDescent="0.2">
      <c r="A13" s="106" t="s">
        <v>52</v>
      </c>
      <c r="B13" s="106" t="s">
        <v>169</v>
      </c>
      <c r="C13" s="106" t="s">
        <v>54</v>
      </c>
      <c r="D13" s="106" t="s">
        <v>125</v>
      </c>
      <c r="E13" s="106" t="s">
        <v>28</v>
      </c>
      <c r="I13" s="101"/>
      <c r="J13" s="101"/>
      <c r="K13" s="101"/>
      <c r="L13" s="101"/>
      <c r="M13" s="107"/>
      <c r="N13" s="107"/>
      <c r="O13" s="107"/>
      <c r="P13" s="107"/>
      <c r="Q13" s="107"/>
      <c r="R13" s="101"/>
      <c r="S13" s="101"/>
      <c r="T13" s="101"/>
      <c r="U13" s="101"/>
      <c r="V13" s="101"/>
    </row>
    <row r="14" spans="1:22" x14ac:dyDescent="0.2">
      <c r="A14" s="108" t="s">
        <v>174</v>
      </c>
      <c r="B14" s="108">
        <v>8</v>
      </c>
      <c r="C14" s="108">
        <v>62.63</v>
      </c>
      <c r="D14" s="108">
        <v>7.8287500000000003</v>
      </c>
      <c r="E14" s="108">
        <v>2.8982142857142839E-3</v>
      </c>
      <c r="I14" s="101"/>
      <c r="J14" s="101"/>
      <c r="K14" s="101"/>
      <c r="L14" s="101"/>
      <c r="M14" s="108"/>
      <c r="N14" s="108"/>
      <c r="O14" s="108"/>
      <c r="P14" s="108"/>
      <c r="Q14" s="108"/>
      <c r="R14" s="101"/>
      <c r="S14" s="101"/>
      <c r="T14" s="101"/>
      <c r="U14" s="101"/>
      <c r="V14" s="101"/>
    </row>
    <row r="15" spans="1:22" x14ac:dyDescent="0.2">
      <c r="A15" s="108" t="s">
        <v>175</v>
      </c>
      <c r="B15" s="108">
        <v>8</v>
      </c>
      <c r="C15" s="108">
        <v>61.04</v>
      </c>
      <c r="D15" s="108">
        <v>7.63</v>
      </c>
      <c r="E15" s="108">
        <v>5.2285714285714383E-3</v>
      </c>
      <c r="I15" s="109"/>
      <c r="J15" s="109"/>
      <c r="K15" s="109"/>
      <c r="L15" s="109"/>
      <c r="M15" s="108"/>
      <c r="N15" s="108"/>
      <c r="O15" s="108"/>
      <c r="P15" s="108"/>
      <c r="Q15" s="108"/>
      <c r="R15" s="101"/>
      <c r="S15" s="101"/>
      <c r="T15" s="101"/>
      <c r="U15" s="101"/>
      <c r="V15" s="101"/>
    </row>
    <row r="16" spans="1:22" x14ac:dyDescent="0.2">
      <c r="A16" s="108" t="s">
        <v>176</v>
      </c>
      <c r="B16" s="108">
        <v>8</v>
      </c>
      <c r="C16" s="108">
        <v>61.88</v>
      </c>
      <c r="D16" s="108">
        <v>7.7350000000000003</v>
      </c>
      <c r="E16" s="108">
        <v>5.5142857142856938E-3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1"/>
      <c r="S16" s="101"/>
      <c r="T16" s="101"/>
      <c r="U16" s="101"/>
      <c r="V16" s="101"/>
    </row>
    <row r="17" spans="1:22" x14ac:dyDescent="0.2">
      <c r="A17" s="108" t="s">
        <v>177</v>
      </c>
      <c r="B17" s="108">
        <v>8</v>
      </c>
      <c r="C17" s="108">
        <v>61.61</v>
      </c>
      <c r="D17" s="108">
        <v>7.7012499999999999</v>
      </c>
      <c r="E17" s="108">
        <v>3.5553571428571513E-3</v>
      </c>
      <c r="I17" s="108"/>
      <c r="J17" s="108"/>
      <c r="K17" s="108"/>
      <c r="L17" s="108"/>
      <c r="M17" s="108"/>
      <c r="N17" s="108"/>
      <c r="O17" s="108"/>
      <c r="P17" s="108"/>
      <c r="Q17" s="108"/>
      <c r="R17" s="101"/>
      <c r="S17" s="101"/>
      <c r="T17" s="101"/>
      <c r="U17" s="101"/>
      <c r="V17" s="101"/>
    </row>
    <row r="18" spans="1:22" x14ac:dyDescent="0.2">
      <c r="A18" s="108"/>
      <c r="B18" s="108"/>
      <c r="C18" s="108"/>
      <c r="D18" s="108"/>
      <c r="E18" s="108"/>
      <c r="I18" s="108"/>
      <c r="J18" s="108"/>
      <c r="K18" s="108"/>
      <c r="L18" s="108"/>
      <c r="M18" s="108"/>
      <c r="N18" s="108"/>
      <c r="O18" s="108"/>
      <c r="P18" s="108"/>
      <c r="Q18" s="108"/>
      <c r="R18" s="101"/>
      <c r="S18" s="101"/>
      <c r="T18" s="101"/>
      <c r="U18" s="101"/>
      <c r="V18" s="101"/>
    </row>
    <row r="19" spans="1:22" x14ac:dyDescent="0.2">
      <c r="A19" s="108" t="s">
        <v>106</v>
      </c>
      <c r="B19" s="108">
        <v>4</v>
      </c>
      <c r="C19" s="108">
        <v>30.9</v>
      </c>
      <c r="D19" s="108">
        <v>7.7249999999999996</v>
      </c>
      <c r="E19" s="108">
        <v>1.24333333333387E-2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1"/>
      <c r="S19" s="101"/>
      <c r="T19" s="101"/>
      <c r="U19" s="101"/>
      <c r="V19" s="101"/>
    </row>
    <row r="20" spans="1:22" x14ac:dyDescent="0.2">
      <c r="A20" s="108" t="s">
        <v>107</v>
      </c>
      <c r="B20" s="108">
        <v>4</v>
      </c>
      <c r="C20" s="108">
        <v>30.99</v>
      </c>
      <c r="D20" s="108">
        <v>7.7474999999999996</v>
      </c>
      <c r="E20" s="108">
        <v>5.2249999999999788E-3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1"/>
      <c r="S20" s="101"/>
      <c r="T20" s="101"/>
      <c r="U20" s="101"/>
      <c r="V20" s="101"/>
    </row>
    <row r="21" spans="1:22" x14ac:dyDescent="0.2">
      <c r="A21" s="108" t="s">
        <v>108</v>
      </c>
      <c r="B21" s="108">
        <v>4</v>
      </c>
      <c r="C21" s="108">
        <v>30.81</v>
      </c>
      <c r="D21" s="108">
        <v>7.7024999999999997</v>
      </c>
      <c r="E21" s="108">
        <v>7.5583333333332893E-3</v>
      </c>
      <c r="I21" s="109"/>
      <c r="J21" s="109"/>
      <c r="K21" s="109"/>
      <c r="L21" s="109"/>
      <c r="M21" s="108"/>
      <c r="N21" s="108"/>
      <c r="O21" s="108"/>
      <c r="P21" s="108"/>
      <c r="Q21" s="108"/>
      <c r="R21" s="101"/>
      <c r="S21" s="101"/>
      <c r="T21" s="101"/>
      <c r="U21" s="101"/>
      <c r="V21" s="101"/>
    </row>
    <row r="22" spans="1:22" x14ac:dyDescent="0.2">
      <c r="A22" s="108" t="s">
        <v>109</v>
      </c>
      <c r="B22" s="108">
        <v>4</v>
      </c>
      <c r="C22" s="108">
        <v>30.96</v>
      </c>
      <c r="D22" s="108">
        <v>7.74</v>
      </c>
      <c r="E22" s="108">
        <v>2.4200000000017024E-2</v>
      </c>
      <c r="I22" s="108"/>
      <c r="J22" s="108"/>
      <c r="K22" s="108"/>
      <c r="L22" s="108"/>
      <c r="M22" s="108"/>
      <c r="N22" s="108"/>
      <c r="O22" s="108"/>
      <c r="P22" s="108"/>
      <c r="Q22" s="108"/>
      <c r="R22" s="101"/>
      <c r="S22" s="101"/>
      <c r="T22" s="101"/>
      <c r="U22" s="101"/>
      <c r="V22" s="101"/>
    </row>
    <row r="23" spans="1:22" x14ac:dyDescent="0.2">
      <c r="A23" s="108" t="s">
        <v>110</v>
      </c>
      <c r="B23" s="108">
        <v>4</v>
      </c>
      <c r="C23" s="108">
        <v>31</v>
      </c>
      <c r="D23" s="108">
        <v>7.75</v>
      </c>
      <c r="E23" s="108">
        <v>1.1266666666661726E-2</v>
      </c>
      <c r="I23" s="108"/>
      <c r="J23" s="108"/>
      <c r="K23" s="108"/>
      <c r="L23" s="108"/>
      <c r="M23" s="108"/>
      <c r="N23" s="108"/>
      <c r="O23" s="108"/>
      <c r="P23" s="108"/>
      <c r="Q23" s="108"/>
      <c r="R23" s="101"/>
      <c r="S23" s="101"/>
      <c r="T23" s="101"/>
      <c r="U23" s="101"/>
      <c r="V23" s="101"/>
    </row>
    <row r="24" spans="1:22" x14ac:dyDescent="0.2">
      <c r="A24" s="108" t="s">
        <v>111</v>
      </c>
      <c r="B24" s="108">
        <v>4</v>
      </c>
      <c r="C24" s="108">
        <v>30.71</v>
      </c>
      <c r="D24" s="108">
        <v>7.6775000000000002</v>
      </c>
      <c r="E24" s="108">
        <v>7.6916666666685769E-3</v>
      </c>
      <c r="I24" s="108"/>
      <c r="J24" s="108"/>
      <c r="K24" s="108"/>
      <c r="L24" s="108"/>
      <c r="M24" s="108"/>
      <c r="N24" s="108"/>
      <c r="O24" s="108"/>
      <c r="P24" s="108"/>
      <c r="Q24" s="108"/>
      <c r="R24" s="101"/>
      <c r="S24" s="101"/>
      <c r="T24" s="101"/>
      <c r="U24" s="101"/>
      <c r="V24" s="101"/>
    </row>
    <row r="25" spans="1:22" x14ac:dyDescent="0.2">
      <c r="A25" s="108" t="s">
        <v>112</v>
      </c>
      <c r="B25" s="108">
        <v>4</v>
      </c>
      <c r="C25" s="108">
        <v>30.96</v>
      </c>
      <c r="D25" s="108">
        <v>7.74</v>
      </c>
      <c r="E25" s="108">
        <v>5.8000000000000074E-3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1"/>
      <c r="S25" s="101"/>
      <c r="T25" s="101"/>
      <c r="U25" s="101"/>
      <c r="V25" s="101"/>
    </row>
    <row r="26" spans="1:22" ht="13.5" thickBot="1" x14ac:dyDescent="0.25">
      <c r="A26" s="110" t="s">
        <v>113</v>
      </c>
      <c r="B26" s="110">
        <v>4</v>
      </c>
      <c r="C26" s="110">
        <v>30.83</v>
      </c>
      <c r="D26" s="110">
        <v>7.7074999999999996</v>
      </c>
      <c r="E26" s="110">
        <v>1.42916666666603E-2</v>
      </c>
      <c r="I26" s="108"/>
      <c r="J26" s="108"/>
      <c r="K26" s="108"/>
      <c r="L26" s="108"/>
      <c r="M26" s="108"/>
      <c r="N26" s="108"/>
      <c r="O26" s="108"/>
      <c r="P26" s="108"/>
      <c r="Q26" s="108"/>
      <c r="R26" s="101"/>
      <c r="S26" s="101"/>
      <c r="T26" s="101"/>
      <c r="U26" s="101"/>
      <c r="V26" s="101"/>
    </row>
    <row r="27" spans="1:22" x14ac:dyDescent="0.2">
      <c r="I27" s="109"/>
      <c r="J27" s="109"/>
      <c r="K27" s="109"/>
      <c r="L27" s="109"/>
      <c r="M27" s="101"/>
      <c r="N27" s="101"/>
      <c r="O27" s="101"/>
      <c r="P27" s="101"/>
      <c r="Q27" s="101"/>
      <c r="R27" s="101"/>
      <c r="S27" s="101"/>
      <c r="T27" s="101"/>
      <c r="U27" s="101"/>
      <c r="V27" s="101"/>
    </row>
    <row r="28" spans="1:22" x14ac:dyDescent="0.2">
      <c r="I28" s="108"/>
      <c r="J28" s="108"/>
      <c r="K28" s="108"/>
      <c r="L28" s="108"/>
      <c r="M28" s="101"/>
      <c r="N28" s="101"/>
      <c r="O28" s="101"/>
      <c r="P28" s="101"/>
      <c r="Q28" s="101"/>
      <c r="R28" s="101"/>
      <c r="S28" s="101"/>
      <c r="T28" s="101"/>
      <c r="U28" s="101"/>
      <c r="V28" s="101"/>
    </row>
    <row r="29" spans="1:22" ht="13.5" thickBot="1" x14ac:dyDescent="0.25">
      <c r="A29" s="100" t="s">
        <v>59</v>
      </c>
      <c r="I29" s="108"/>
      <c r="J29" s="108"/>
      <c r="K29" s="108"/>
      <c r="L29" s="108"/>
      <c r="M29" s="101"/>
      <c r="N29" s="101"/>
      <c r="O29" s="101"/>
      <c r="P29" s="101"/>
      <c r="Q29" s="101"/>
      <c r="R29" s="101"/>
      <c r="S29" s="101"/>
      <c r="T29" s="101"/>
      <c r="U29" s="101"/>
      <c r="V29" s="101"/>
    </row>
    <row r="30" spans="1:22" x14ac:dyDescent="0.2">
      <c r="A30" s="106" t="s">
        <v>170</v>
      </c>
      <c r="B30" s="106" t="s">
        <v>60</v>
      </c>
      <c r="C30" s="106" t="s">
        <v>29</v>
      </c>
      <c r="D30" s="106" t="s">
        <v>61</v>
      </c>
      <c r="E30" s="106" t="s">
        <v>62</v>
      </c>
      <c r="F30" s="106" t="s">
        <v>183</v>
      </c>
      <c r="G30" s="106" t="s">
        <v>63</v>
      </c>
      <c r="I30" s="107"/>
      <c r="J30" s="107"/>
      <c r="K30" s="107"/>
      <c r="L30" s="101"/>
      <c r="M30" s="107"/>
      <c r="N30" s="107"/>
      <c r="O30" s="107"/>
      <c r="P30" s="107"/>
      <c r="Q30" s="101"/>
      <c r="R30" s="101"/>
      <c r="S30" s="101"/>
      <c r="T30" s="101"/>
      <c r="U30" s="101"/>
      <c r="V30" s="101"/>
    </row>
    <row r="31" spans="1:22" x14ac:dyDescent="0.2">
      <c r="A31" s="108" t="s">
        <v>178</v>
      </c>
      <c r="B31" s="108">
        <v>0.16357499999999955</v>
      </c>
      <c r="C31" s="108">
        <v>3</v>
      </c>
      <c r="D31" s="108">
        <v>5.4524999999999851E-2</v>
      </c>
      <c r="E31" s="108">
        <v>11.245028234716374</v>
      </c>
      <c r="F31" s="108">
        <v>1.3056759436685933E-4</v>
      </c>
      <c r="G31" s="108">
        <v>3.0724670011036501</v>
      </c>
      <c r="I31" s="108"/>
      <c r="J31" s="108"/>
      <c r="K31" s="108"/>
      <c r="L31" s="101"/>
      <c r="M31" s="108"/>
      <c r="N31" s="108"/>
      <c r="O31" s="108"/>
      <c r="P31" s="108"/>
      <c r="Q31" s="101"/>
      <c r="R31" s="101"/>
      <c r="S31" s="101"/>
      <c r="T31" s="101"/>
      <c r="U31" s="101"/>
      <c r="V31" s="101"/>
    </row>
    <row r="32" spans="1:22" x14ac:dyDescent="0.2">
      <c r="A32" s="108" t="s">
        <v>114</v>
      </c>
      <c r="B32" s="108">
        <v>1.8549999999999789E-2</v>
      </c>
      <c r="C32" s="108">
        <v>7</v>
      </c>
      <c r="D32" s="108">
        <v>2.6499999999999697E-3</v>
      </c>
      <c r="E32" s="108">
        <v>0.54652590228332198</v>
      </c>
      <c r="F32" s="108">
        <v>0.78966923799631084</v>
      </c>
      <c r="G32" s="108">
        <v>2.4875777039403735</v>
      </c>
      <c r="I32" s="108"/>
      <c r="J32" s="108"/>
      <c r="K32" s="108"/>
      <c r="L32" s="101"/>
      <c r="M32" s="108"/>
      <c r="N32" s="108"/>
      <c r="O32" s="108"/>
      <c r="P32" s="108"/>
      <c r="Q32" s="101"/>
      <c r="R32" s="101"/>
      <c r="S32" s="101"/>
      <c r="T32" s="101"/>
      <c r="U32" s="101"/>
      <c r="V32" s="101"/>
    </row>
    <row r="33" spans="1:22" x14ac:dyDescent="0.2">
      <c r="A33" s="108" t="s">
        <v>179</v>
      </c>
      <c r="B33" s="108">
        <v>0.10182500000000019</v>
      </c>
      <c r="C33" s="108">
        <v>21</v>
      </c>
      <c r="D33" s="108">
        <v>4.848809523809533E-3</v>
      </c>
      <c r="E33" s="108"/>
      <c r="F33" s="108"/>
      <c r="G33" s="108"/>
      <c r="I33" s="108"/>
      <c r="J33" s="108"/>
      <c r="K33" s="108"/>
      <c r="L33" s="101"/>
      <c r="M33" s="108"/>
      <c r="N33" s="108"/>
      <c r="O33" s="108"/>
      <c r="P33" s="108"/>
      <c r="Q33" s="101"/>
      <c r="R33" s="101"/>
      <c r="S33" s="101"/>
      <c r="T33" s="101"/>
      <c r="U33" s="101"/>
      <c r="V33" s="101"/>
    </row>
    <row r="34" spans="1:22" x14ac:dyDescent="0.2">
      <c r="A34" s="108"/>
      <c r="B34" s="108"/>
      <c r="C34" s="108"/>
      <c r="D34" s="108"/>
      <c r="E34" s="108"/>
      <c r="F34" s="108"/>
      <c r="G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1"/>
      <c r="U34" s="101"/>
      <c r="V34" s="101"/>
    </row>
    <row r="35" spans="1:22" ht="13.5" thickBot="1" x14ac:dyDescent="0.25">
      <c r="A35" s="110" t="s">
        <v>64</v>
      </c>
      <c r="B35" s="110">
        <v>0.28394999999999954</v>
      </c>
      <c r="C35" s="110">
        <v>31</v>
      </c>
      <c r="D35" s="110"/>
      <c r="E35" s="110"/>
      <c r="F35" s="110"/>
      <c r="G35" s="110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1"/>
      <c r="U35" s="101"/>
      <c r="V35" s="101"/>
    </row>
    <row r="36" spans="1:22" x14ac:dyDescent="0.2">
      <c r="I36" s="108"/>
      <c r="J36" s="108"/>
      <c r="K36" s="108"/>
      <c r="L36" s="108"/>
      <c r="M36" s="108"/>
      <c r="N36" s="101"/>
      <c r="O36" s="101"/>
      <c r="P36" s="101"/>
      <c r="Q36" s="101"/>
      <c r="R36" s="101"/>
      <c r="S36" s="101"/>
      <c r="T36" s="101"/>
      <c r="U36" s="101"/>
      <c r="V36" s="101"/>
    </row>
    <row r="37" spans="1:22" x14ac:dyDescent="0.2">
      <c r="I37" s="108"/>
      <c r="J37" s="108"/>
      <c r="K37" s="108"/>
      <c r="L37" s="108"/>
      <c r="M37" s="108"/>
      <c r="N37" s="101"/>
      <c r="O37" s="101"/>
      <c r="P37" s="101"/>
      <c r="Q37" s="101"/>
      <c r="R37" s="101"/>
      <c r="S37" s="101"/>
      <c r="T37" s="101"/>
      <c r="U37" s="101"/>
      <c r="V37" s="101"/>
    </row>
    <row r="38" spans="1:22" x14ac:dyDescent="0.2">
      <c r="I38" s="108"/>
      <c r="J38" s="108"/>
      <c r="K38" s="108"/>
      <c r="L38" s="108"/>
      <c r="M38" s="108"/>
      <c r="N38" s="101"/>
      <c r="O38" s="101"/>
      <c r="P38" s="101"/>
      <c r="Q38" s="101"/>
      <c r="R38" s="101"/>
      <c r="S38" s="101"/>
      <c r="T38" s="101"/>
      <c r="U38" s="101"/>
      <c r="V38" s="101"/>
    </row>
    <row r="39" spans="1:22" x14ac:dyDescent="0.2"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</row>
    <row r="40" spans="1:22" x14ac:dyDescent="0.2"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</row>
    <row r="41" spans="1:22" x14ac:dyDescent="0.2">
      <c r="I41" s="107"/>
      <c r="J41" s="107"/>
      <c r="K41" s="107"/>
      <c r="L41" s="107"/>
      <c r="M41" s="107"/>
      <c r="N41" s="107"/>
      <c r="O41" s="107"/>
      <c r="P41" s="101"/>
      <c r="Q41" s="101"/>
      <c r="R41" s="101"/>
      <c r="S41" s="101"/>
      <c r="T41" s="101"/>
      <c r="U41" s="101"/>
      <c r="V41" s="101"/>
    </row>
    <row r="42" spans="1:22" x14ac:dyDescent="0.2">
      <c r="I42" s="108"/>
      <c r="J42" s="108"/>
      <c r="K42" s="108"/>
      <c r="L42" s="108"/>
      <c r="M42" s="108"/>
      <c r="N42" s="108"/>
      <c r="O42" s="108"/>
      <c r="P42" s="101"/>
      <c r="Q42" s="101"/>
      <c r="R42" s="101"/>
      <c r="S42" s="101"/>
      <c r="T42" s="101"/>
      <c r="U42" s="101"/>
      <c r="V42" s="101"/>
    </row>
    <row r="43" spans="1:22" x14ac:dyDescent="0.2">
      <c r="I43" s="108"/>
      <c r="J43" s="108"/>
      <c r="K43" s="108"/>
      <c r="L43" s="108"/>
      <c r="M43" s="108"/>
      <c r="N43" s="108"/>
      <c r="O43" s="108"/>
      <c r="P43" s="101"/>
      <c r="Q43" s="101"/>
      <c r="R43" s="101"/>
      <c r="S43" s="101"/>
      <c r="T43" s="101"/>
      <c r="U43" s="101"/>
      <c r="V43" s="101"/>
    </row>
    <row r="44" spans="1:22" x14ac:dyDescent="0.2">
      <c r="I44" s="108"/>
      <c r="J44" s="108"/>
      <c r="K44" s="108"/>
      <c r="L44" s="108"/>
      <c r="M44" s="108"/>
      <c r="N44" s="108"/>
      <c r="O44" s="108"/>
      <c r="P44" s="101"/>
      <c r="Q44" s="101"/>
      <c r="R44" s="101"/>
      <c r="S44" s="101"/>
      <c r="T44" s="101"/>
      <c r="U44" s="101"/>
      <c r="V44" s="101"/>
    </row>
    <row r="45" spans="1:22" x14ac:dyDescent="0.2">
      <c r="I45" s="108"/>
      <c r="J45" s="108"/>
      <c r="K45" s="108"/>
      <c r="L45" s="108"/>
      <c r="M45" s="108"/>
      <c r="N45" s="108"/>
      <c r="O45" s="108"/>
      <c r="P45" s="101"/>
      <c r="Q45" s="101"/>
      <c r="R45" s="101"/>
      <c r="S45" s="101"/>
      <c r="T45" s="101"/>
      <c r="U45" s="101"/>
      <c r="V45" s="101"/>
    </row>
    <row r="46" spans="1:22" x14ac:dyDescent="0.2">
      <c r="I46" s="108"/>
      <c r="J46" s="108"/>
      <c r="K46" s="108"/>
      <c r="L46" s="108"/>
      <c r="M46" s="108"/>
      <c r="N46" s="108"/>
      <c r="O46" s="108"/>
      <c r="P46" s="101"/>
      <c r="Q46" s="101"/>
      <c r="R46" s="101"/>
      <c r="S46" s="101"/>
      <c r="T46" s="101"/>
      <c r="U46" s="101"/>
      <c r="V46" s="101"/>
    </row>
    <row r="47" spans="1:22" x14ac:dyDescent="0.2">
      <c r="I47" s="108"/>
      <c r="J47" s="108"/>
      <c r="K47" s="108"/>
      <c r="L47" s="108"/>
      <c r="M47" s="108"/>
      <c r="N47" s="108"/>
      <c r="O47" s="108"/>
    </row>
  </sheetData>
  <hyperlinks>
    <hyperlink ref="K1" location="Meny!A1" tooltip="Gå til arket &quot;Meny&quot;" display="Hovedmeny"/>
  </hyperlink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1"/>
  <sheetViews>
    <sheetView workbookViewId="0">
      <selection activeCell="G12" sqref="G12"/>
    </sheetView>
  </sheetViews>
  <sheetFormatPr defaultColWidth="11.42578125" defaultRowHeight="12.75" x14ac:dyDescent="0.2"/>
  <cols>
    <col min="1" max="16384" width="11.42578125" style="100"/>
  </cols>
  <sheetData>
    <row r="1" spans="1:33" ht="15" x14ac:dyDescent="0.25">
      <c r="A1" s="103" t="s">
        <v>205</v>
      </c>
      <c r="F1" s="115" t="s">
        <v>126</v>
      </c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</row>
    <row r="2" spans="1:33" x14ac:dyDescent="0.2">
      <c r="A2" s="11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3" spans="1:33" x14ac:dyDescent="0.2">
      <c r="A3" s="102"/>
      <c r="B3" s="100">
        <v>1</v>
      </c>
      <c r="C3" s="100">
        <v>2</v>
      </c>
      <c r="D3" s="100">
        <v>3</v>
      </c>
      <c r="E3" s="100">
        <v>4</v>
      </c>
      <c r="F3" s="100" t="s">
        <v>115</v>
      </c>
      <c r="G3" s="100" t="s">
        <v>115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</row>
    <row r="4" spans="1:33" x14ac:dyDescent="0.2">
      <c r="A4" s="100">
        <v>1</v>
      </c>
      <c r="B4" s="104">
        <v>2.37</v>
      </c>
      <c r="C4" s="104">
        <v>2.85</v>
      </c>
      <c r="D4" s="104">
        <v>2.4300000000000002</v>
      </c>
      <c r="E4" s="104">
        <v>2.4500000000000002</v>
      </c>
      <c r="F4" s="104" t="s">
        <v>115</v>
      </c>
      <c r="G4" s="100" t="s">
        <v>115</v>
      </c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</row>
    <row r="5" spans="1:33" x14ac:dyDescent="0.2">
      <c r="B5" s="104">
        <v>2.4900000000000002</v>
      </c>
      <c r="C5" s="104">
        <v>3.1</v>
      </c>
      <c r="D5" s="104">
        <v>2.4500000000000002</v>
      </c>
      <c r="E5" s="104">
        <v>2.78</v>
      </c>
      <c r="F5" s="104" t="s">
        <v>115</v>
      </c>
      <c r="G5" s="100" t="s">
        <v>115</v>
      </c>
      <c r="H5" s="100" t="s">
        <v>115</v>
      </c>
      <c r="I5" s="100" t="s">
        <v>115</v>
      </c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</row>
    <row r="6" spans="1:33" x14ac:dyDescent="0.2">
      <c r="B6" s="104">
        <v>2.44</v>
      </c>
      <c r="C6" s="104">
        <v>2.88</v>
      </c>
      <c r="D6" s="104">
        <v>2.63</v>
      </c>
      <c r="E6" s="104">
        <v>2.66</v>
      </c>
      <c r="F6" s="104" t="s">
        <v>115</v>
      </c>
      <c r="G6" s="104" t="s">
        <v>115</v>
      </c>
      <c r="H6" s="100" t="s">
        <v>115</v>
      </c>
      <c r="I6" s="100" t="s">
        <v>115</v>
      </c>
      <c r="K6" s="101"/>
      <c r="L6" s="101"/>
      <c r="M6" s="109"/>
      <c r="N6" s="109"/>
      <c r="O6" s="109"/>
      <c r="P6" s="109"/>
      <c r="Q6" s="109"/>
      <c r="R6" s="109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</row>
    <row r="7" spans="1:33" x14ac:dyDescent="0.2">
      <c r="B7" s="104">
        <v>2.4300000000000002</v>
      </c>
      <c r="C7" s="104">
        <v>2.77</v>
      </c>
      <c r="D7" s="104">
        <v>2.76</v>
      </c>
      <c r="E7" s="104">
        <v>2.6</v>
      </c>
      <c r="F7" s="104" t="s">
        <v>115</v>
      </c>
      <c r="G7" s="104" t="s">
        <v>115</v>
      </c>
      <c r="H7" s="100" t="s">
        <v>115</v>
      </c>
      <c r="I7" s="100" t="s">
        <v>115</v>
      </c>
      <c r="K7" s="101"/>
      <c r="L7" s="101"/>
      <c r="M7" s="108"/>
      <c r="N7" s="108"/>
      <c r="O7" s="108"/>
      <c r="P7" s="108"/>
      <c r="Q7" s="108"/>
      <c r="R7" s="108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</row>
    <row r="8" spans="1:33" x14ac:dyDescent="0.2">
      <c r="A8" s="100">
        <v>2</v>
      </c>
      <c r="B8" s="104">
        <v>2.36</v>
      </c>
      <c r="C8" s="104">
        <v>3.02</v>
      </c>
      <c r="D8" s="104">
        <v>2.4900000000000002</v>
      </c>
      <c r="E8" s="104">
        <v>2.56</v>
      </c>
      <c r="F8" s="104" t="s">
        <v>115</v>
      </c>
      <c r="G8" s="104" t="s">
        <v>115</v>
      </c>
      <c r="H8" s="100" t="s">
        <v>115</v>
      </c>
      <c r="I8" s="100" t="s">
        <v>115</v>
      </c>
      <c r="K8" s="101"/>
      <c r="L8" s="101"/>
      <c r="M8" s="108"/>
      <c r="N8" s="108"/>
      <c r="O8" s="108"/>
      <c r="P8" s="108"/>
      <c r="Q8" s="108"/>
      <c r="R8" s="108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</row>
    <row r="9" spans="1:33" x14ac:dyDescent="0.2">
      <c r="B9" s="104">
        <v>2.23</v>
      </c>
      <c r="C9" s="104">
        <v>2.61</v>
      </c>
      <c r="D9" s="104">
        <v>2.35</v>
      </c>
      <c r="E9" s="104">
        <v>3.02</v>
      </c>
      <c r="F9" s="104" t="s">
        <v>115</v>
      </c>
      <c r="G9" s="104" t="s">
        <v>115</v>
      </c>
      <c r="H9" s="100" t="s">
        <v>115</v>
      </c>
      <c r="I9" s="100" t="s">
        <v>115</v>
      </c>
      <c r="K9" s="101"/>
      <c r="L9" s="101"/>
      <c r="M9" s="108"/>
      <c r="N9" s="108"/>
      <c r="O9" s="108"/>
      <c r="P9" s="108"/>
      <c r="Q9" s="108"/>
      <c r="R9" s="108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</row>
    <row r="10" spans="1:33" x14ac:dyDescent="0.2">
      <c r="B10" s="104">
        <v>2.4500000000000002</v>
      </c>
      <c r="C10" s="104">
        <v>2.4900000000000002</v>
      </c>
      <c r="D10" s="104">
        <v>2.2799999999999998</v>
      </c>
      <c r="E10" s="104">
        <v>2.71</v>
      </c>
      <c r="F10" s="104" t="s">
        <v>115</v>
      </c>
      <c r="G10" s="104" t="s">
        <v>115</v>
      </c>
      <c r="H10" s="100" t="s">
        <v>115</v>
      </c>
      <c r="I10" s="100" t="s">
        <v>115</v>
      </c>
      <c r="K10" s="101"/>
      <c r="L10" s="101"/>
      <c r="M10" s="108"/>
      <c r="N10" s="108"/>
      <c r="O10" s="108"/>
      <c r="P10" s="108"/>
      <c r="Q10" s="108"/>
      <c r="R10" s="108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</row>
    <row r="11" spans="1:33" x14ac:dyDescent="0.2">
      <c r="B11" s="104">
        <v>2.23</v>
      </c>
      <c r="C11" s="104">
        <v>3.24</v>
      </c>
      <c r="D11" s="104">
        <v>2.4</v>
      </c>
      <c r="E11" s="104">
        <v>2.38</v>
      </c>
      <c r="F11" s="104" t="s">
        <v>115</v>
      </c>
      <c r="G11" s="104" t="s">
        <v>115</v>
      </c>
      <c r="H11" s="100" t="s">
        <v>115</v>
      </c>
      <c r="I11" s="100" t="s">
        <v>115</v>
      </c>
      <c r="K11" s="101"/>
      <c r="L11" s="101"/>
      <c r="M11" s="108"/>
      <c r="N11" s="108"/>
      <c r="O11" s="108"/>
      <c r="P11" s="108"/>
      <c r="Q11" s="108"/>
      <c r="R11" s="108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</row>
    <row r="12" spans="1:33" x14ac:dyDescent="0.2">
      <c r="A12" s="100">
        <v>3</v>
      </c>
      <c r="B12" s="104">
        <v>2.2200000000000002</v>
      </c>
      <c r="C12" s="104">
        <v>2.2999999999999998</v>
      </c>
      <c r="D12" s="104">
        <v>2.23</v>
      </c>
      <c r="E12" s="104">
        <v>2.2999999999999998</v>
      </c>
      <c r="F12" s="104" t="s">
        <v>115</v>
      </c>
      <c r="G12" s="104" t="s">
        <v>115</v>
      </c>
      <c r="H12" s="100" t="s">
        <v>115</v>
      </c>
      <c r="I12" s="100" t="s">
        <v>115</v>
      </c>
      <c r="K12" s="101"/>
      <c r="L12" s="101"/>
      <c r="M12" s="109"/>
      <c r="N12" s="109"/>
      <c r="O12" s="109"/>
      <c r="P12" s="109"/>
      <c r="Q12" s="109"/>
      <c r="R12" s="109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</row>
    <row r="13" spans="1:33" x14ac:dyDescent="0.2">
      <c r="B13" s="104">
        <v>2.19</v>
      </c>
      <c r="C13" s="104">
        <v>2.39</v>
      </c>
      <c r="D13" s="104">
        <v>2.33</v>
      </c>
      <c r="E13" s="104">
        <v>2.4700000000000002</v>
      </c>
      <c r="F13" s="104" t="s">
        <v>115</v>
      </c>
      <c r="G13" s="104" t="s">
        <v>115</v>
      </c>
      <c r="H13" s="100" t="s">
        <v>115</v>
      </c>
      <c r="I13" s="100" t="s">
        <v>115</v>
      </c>
      <c r="K13" s="101"/>
      <c r="L13" s="101"/>
      <c r="M13" s="108"/>
      <c r="N13" s="108"/>
      <c r="O13" s="108"/>
      <c r="P13" s="108"/>
      <c r="Q13" s="108"/>
      <c r="R13" s="108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</row>
    <row r="14" spans="1:33" x14ac:dyDescent="0.2">
      <c r="B14" s="104">
        <v>2.12</v>
      </c>
      <c r="C14" s="104">
        <v>2.4700000000000002</v>
      </c>
      <c r="D14" s="104">
        <v>2.2400000000000002</v>
      </c>
      <c r="E14" s="104">
        <v>2.19</v>
      </c>
      <c r="F14" s="104" t="s">
        <v>115</v>
      </c>
      <c r="G14" s="104" t="s">
        <v>115</v>
      </c>
      <c r="H14" s="100" t="s">
        <v>115</v>
      </c>
      <c r="I14" s="100" t="s">
        <v>115</v>
      </c>
      <c r="K14" s="101"/>
      <c r="L14" s="101"/>
      <c r="M14" s="108"/>
      <c r="N14" s="108"/>
      <c r="O14" s="108"/>
      <c r="P14" s="108"/>
      <c r="Q14" s="108"/>
      <c r="R14" s="108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</row>
    <row r="15" spans="1:33" x14ac:dyDescent="0.2">
      <c r="B15" s="104">
        <v>2.36</v>
      </c>
      <c r="C15" s="104">
        <v>2.15</v>
      </c>
      <c r="D15" s="104">
        <v>2.11</v>
      </c>
      <c r="E15" s="104">
        <v>2.37</v>
      </c>
      <c r="F15" s="104" t="s">
        <v>115</v>
      </c>
      <c r="G15" s="104" t="s">
        <v>115</v>
      </c>
      <c r="H15" s="100" t="s">
        <v>115</v>
      </c>
      <c r="I15" s="100" t="s">
        <v>115</v>
      </c>
      <c r="K15" s="101"/>
      <c r="L15" s="101"/>
      <c r="M15" s="108"/>
      <c r="N15" s="108"/>
      <c r="O15" s="108"/>
      <c r="P15" s="108"/>
      <c r="Q15" s="108"/>
      <c r="R15" s="108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</row>
    <row r="16" spans="1:33" x14ac:dyDescent="0.2">
      <c r="F16" s="100" t="s">
        <v>115</v>
      </c>
      <c r="G16" s="100" t="s">
        <v>115</v>
      </c>
      <c r="H16" s="100" t="s">
        <v>115</v>
      </c>
      <c r="I16" s="100" t="s">
        <v>115</v>
      </c>
      <c r="K16" s="101"/>
      <c r="L16" s="101"/>
      <c r="M16" s="108"/>
      <c r="N16" s="108"/>
      <c r="O16" s="108"/>
      <c r="P16" s="108"/>
      <c r="Q16" s="108"/>
      <c r="R16" s="108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</row>
    <row r="17" spans="1:33" x14ac:dyDescent="0.2">
      <c r="A17" s="101"/>
      <c r="B17" s="101"/>
      <c r="C17" s="101"/>
      <c r="D17" s="101"/>
      <c r="E17" s="101"/>
      <c r="F17" s="101"/>
      <c r="G17" s="101"/>
      <c r="H17" s="101"/>
      <c r="I17" s="101"/>
      <c r="K17" s="101"/>
      <c r="L17" s="101"/>
      <c r="M17" s="108"/>
      <c r="N17" s="108"/>
      <c r="O17" s="108"/>
      <c r="P17" s="108"/>
      <c r="Q17" s="108"/>
      <c r="R17" s="108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</row>
    <row r="18" spans="1:33" x14ac:dyDescent="0.2">
      <c r="A18" s="100" t="s">
        <v>207</v>
      </c>
      <c r="H18" s="101"/>
      <c r="I18" s="101"/>
      <c r="K18" s="101"/>
      <c r="L18" s="101"/>
      <c r="M18" s="109"/>
      <c r="N18" s="109"/>
      <c r="O18" s="109"/>
      <c r="P18" s="109"/>
      <c r="Q18" s="109"/>
      <c r="R18" s="109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</row>
    <row r="19" spans="1:33" x14ac:dyDescent="0.2">
      <c r="H19" s="101"/>
      <c r="I19" s="101"/>
      <c r="K19" s="101"/>
      <c r="L19" s="101"/>
      <c r="M19" s="108"/>
      <c r="N19" s="108"/>
      <c r="O19" s="108"/>
      <c r="P19" s="108"/>
      <c r="Q19" s="108"/>
      <c r="R19" s="108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</row>
    <row r="20" spans="1:33" x14ac:dyDescent="0.2">
      <c r="A20" s="100" t="s">
        <v>52</v>
      </c>
      <c r="B20" s="100">
        <v>1</v>
      </c>
      <c r="C20" s="100">
        <v>2</v>
      </c>
      <c r="D20" s="100">
        <v>3</v>
      </c>
      <c r="E20" s="100">
        <v>4</v>
      </c>
      <c r="F20" s="100" t="s">
        <v>64</v>
      </c>
      <c r="H20" s="101"/>
      <c r="I20" s="101"/>
      <c r="K20" s="101"/>
      <c r="L20" s="101"/>
      <c r="M20" s="108"/>
      <c r="N20" s="108"/>
      <c r="O20" s="108"/>
      <c r="P20" s="108"/>
      <c r="Q20" s="108"/>
      <c r="R20" s="108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</row>
    <row r="21" spans="1:33" ht="13.5" thickBot="1" x14ac:dyDescent="0.25">
      <c r="A21" s="112">
        <v>1</v>
      </c>
      <c r="B21" s="112"/>
      <c r="C21" s="112"/>
      <c r="D21" s="112"/>
      <c r="E21" s="112"/>
      <c r="F21" s="112"/>
      <c r="H21" s="101"/>
      <c r="I21" s="101"/>
      <c r="K21" s="101"/>
      <c r="L21" s="101"/>
      <c r="M21" s="108"/>
      <c r="N21" s="108"/>
      <c r="O21" s="108"/>
      <c r="P21" s="108"/>
      <c r="Q21" s="108"/>
      <c r="R21" s="108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</row>
    <row r="22" spans="1:33" x14ac:dyDescent="0.2">
      <c r="A22" s="108" t="s">
        <v>169</v>
      </c>
      <c r="B22" s="108">
        <v>4</v>
      </c>
      <c r="C22" s="108">
        <v>4</v>
      </c>
      <c r="D22" s="108">
        <v>4</v>
      </c>
      <c r="E22" s="108">
        <v>4</v>
      </c>
      <c r="F22" s="108">
        <v>16</v>
      </c>
      <c r="H22" s="101"/>
      <c r="I22" s="101"/>
      <c r="K22" s="101"/>
      <c r="L22" s="101"/>
      <c r="M22" s="108"/>
      <c r="N22" s="108"/>
      <c r="O22" s="108"/>
      <c r="P22" s="108"/>
      <c r="Q22" s="108"/>
      <c r="R22" s="108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</row>
    <row r="23" spans="1:33" x14ac:dyDescent="0.2">
      <c r="A23" s="108" t="s">
        <v>54</v>
      </c>
      <c r="B23" s="108">
        <v>9.73</v>
      </c>
      <c r="C23" s="108">
        <v>11.6</v>
      </c>
      <c r="D23" s="108">
        <v>10.27</v>
      </c>
      <c r="E23" s="108">
        <v>10.49</v>
      </c>
      <c r="F23" s="108">
        <v>42.09</v>
      </c>
      <c r="H23" s="101"/>
      <c r="I23" s="101"/>
      <c r="K23" s="101"/>
      <c r="L23" s="101"/>
      <c r="M23" s="108"/>
      <c r="N23" s="108"/>
      <c r="O23" s="108"/>
      <c r="P23" s="108"/>
      <c r="Q23" s="108"/>
      <c r="R23" s="108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</row>
    <row r="24" spans="1:33" x14ac:dyDescent="0.2">
      <c r="A24" s="108" t="s">
        <v>125</v>
      </c>
      <c r="B24" s="108">
        <v>2.4325000000000001</v>
      </c>
      <c r="C24" s="108">
        <v>2.9</v>
      </c>
      <c r="D24" s="108">
        <v>2.5674999999999999</v>
      </c>
      <c r="E24" s="108">
        <v>2.6225000000000001</v>
      </c>
      <c r="F24" s="108">
        <v>2.6306250000000002</v>
      </c>
      <c r="H24" s="101"/>
      <c r="I24" s="101"/>
      <c r="K24" s="101"/>
      <c r="L24" s="101"/>
      <c r="M24" s="109"/>
      <c r="N24" s="109"/>
      <c r="O24" s="109"/>
      <c r="P24" s="109"/>
      <c r="Q24" s="109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</row>
    <row r="25" spans="1:33" x14ac:dyDescent="0.2">
      <c r="A25" s="108" t="s">
        <v>28</v>
      </c>
      <c r="B25" s="108">
        <v>2.4250000000000031E-3</v>
      </c>
      <c r="C25" s="108">
        <v>1.9933333333334247E-2</v>
      </c>
      <c r="D25" s="108">
        <v>2.4558333333333831E-2</v>
      </c>
      <c r="E25" s="108">
        <v>1.8824999999999648E-2</v>
      </c>
      <c r="F25" s="108">
        <v>4.4046249999998587E-2</v>
      </c>
      <c r="H25" s="101"/>
      <c r="I25" s="101"/>
      <c r="K25" s="101"/>
      <c r="L25" s="101"/>
      <c r="M25" s="108"/>
      <c r="N25" s="108"/>
      <c r="O25" s="108"/>
      <c r="P25" s="108"/>
      <c r="Q25" s="108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</row>
    <row r="26" spans="1:33" x14ac:dyDescent="0.2">
      <c r="A26" s="108"/>
      <c r="B26" s="108"/>
      <c r="C26" s="108"/>
      <c r="D26" s="108"/>
      <c r="E26" s="108"/>
      <c r="F26" s="108"/>
      <c r="H26" s="101"/>
      <c r="I26" s="101"/>
      <c r="K26" s="101"/>
      <c r="L26" s="101"/>
      <c r="M26" s="108"/>
      <c r="N26" s="108"/>
      <c r="O26" s="108"/>
      <c r="P26" s="108"/>
      <c r="Q26" s="108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</row>
    <row r="27" spans="1:33" ht="13.5" thickBot="1" x14ac:dyDescent="0.25">
      <c r="A27" s="112">
        <v>2</v>
      </c>
      <c r="B27" s="112"/>
      <c r="C27" s="112"/>
      <c r="D27" s="112"/>
      <c r="E27" s="112"/>
      <c r="F27" s="112"/>
      <c r="H27" s="101"/>
      <c r="I27" s="101"/>
      <c r="K27" s="101"/>
      <c r="L27" s="101"/>
      <c r="M27" s="108"/>
      <c r="N27" s="108"/>
      <c r="O27" s="108"/>
      <c r="P27" s="108"/>
      <c r="Q27" s="108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</row>
    <row r="28" spans="1:33" x14ac:dyDescent="0.2">
      <c r="A28" s="108" t="s">
        <v>169</v>
      </c>
      <c r="B28" s="108">
        <v>4</v>
      </c>
      <c r="C28" s="108">
        <v>4</v>
      </c>
      <c r="D28" s="108">
        <v>4</v>
      </c>
      <c r="E28" s="108">
        <v>4</v>
      </c>
      <c r="F28" s="108">
        <v>16</v>
      </c>
      <c r="H28" s="101"/>
      <c r="I28" s="101"/>
      <c r="K28" s="101"/>
      <c r="L28" s="101"/>
      <c r="M28" s="108"/>
      <c r="N28" s="108"/>
      <c r="O28" s="108"/>
      <c r="P28" s="108"/>
      <c r="Q28" s="108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</row>
    <row r="29" spans="1:33" x14ac:dyDescent="0.2">
      <c r="A29" s="108" t="s">
        <v>54</v>
      </c>
      <c r="B29" s="108">
        <v>9.27</v>
      </c>
      <c r="C29" s="108">
        <v>11.36</v>
      </c>
      <c r="D29" s="108">
        <v>9.52</v>
      </c>
      <c r="E29" s="108">
        <v>10.67</v>
      </c>
      <c r="F29" s="108">
        <v>40.82</v>
      </c>
      <c r="H29" s="101"/>
      <c r="I29" s="101"/>
      <c r="K29" s="101"/>
      <c r="L29" s="101"/>
      <c r="M29" s="108"/>
      <c r="N29" s="108"/>
      <c r="O29" s="108"/>
      <c r="P29" s="108"/>
      <c r="Q29" s="108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</row>
    <row r="30" spans="1:33" x14ac:dyDescent="0.2">
      <c r="A30" s="108" t="s">
        <v>125</v>
      </c>
      <c r="B30" s="108">
        <v>2.3174999999999999</v>
      </c>
      <c r="C30" s="108">
        <v>2.84</v>
      </c>
      <c r="D30" s="108">
        <v>2.38</v>
      </c>
      <c r="E30" s="108">
        <v>2.6675</v>
      </c>
      <c r="F30" s="108">
        <v>2.55125</v>
      </c>
      <c r="H30" s="101"/>
      <c r="I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</row>
    <row r="31" spans="1:33" x14ac:dyDescent="0.2">
      <c r="A31" s="108" t="s">
        <v>28</v>
      </c>
      <c r="B31" s="108">
        <v>1.1558333333334522E-2</v>
      </c>
      <c r="C31" s="108">
        <v>0.12259999999999849</v>
      </c>
      <c r="D31" s="108">
        <v>7.799999999999585E-3</v>
      </c>
      <c r="E31" s="108">
        <v>7.3425000000003848E-2</v>
      </c>
      <c r="F31" s="108">
        <v>9.1305000000000788E-2</v>
      </c>
      <c r="H31" s="101"/>
      <c r="I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</row>
    <row r="32" spans="1:33" x14ac:dyDescent="0.2">
      <c r="A32" s="108"/>
      <c r="B32" s="108"/>
      <c r="C32" s="108"/>
      <c r="D32" s="108"/>
      <c r="E32" s="108"/>
      <c r="F32" s="108"/>
      <c r="H32" s="101"/>
      <c r="I32" s="101"/>
      <c r="K32" s="101"/>
      <c r="L32" s="101"/>
      <c r="M32" s="107"/>
      <c r="N32" s="107"/>
      <c r="O32" s="107"/>
      <c r="P32" s="107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</row>
    <row r="33" spans="1:33" ht="13.5" thickBot="1" x14ac:dyDescent="0.25">
      <c r="A33" s="112">
        <v>3</v>
      </c>
      <c r="B33" s="112"/>
      <c r="C33" s="112"/>
      <c r="D33" s="112"/>
      <c r="E33" s="112"/>
      <c r="F33" s="112"/>
      <c r="H33" s="101"/>
      <c r="I33" s="101"/>
      <c r="K33" s="101"/>
      <c r="L33" s="101"/>
      <c r="M33" s="108"/>
      <c r="N33" s="108"/>
      <c r="O33" s="108"/>
      <c r="P33" s="108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</row>
    <row r="34" spans="1:33" x14ac:dyDescent="0.2">
      <c r="A34" s="108" t="s">
        <v>169</v>
      </c>
      <c r="B34" s="108">
        <v>4</v>
      </c>
      <c r="C34" s="108">
        <v>4</v>
      </c>
      <c r="D34" s="108">
        <v>4</v>
      </c>
      <c r="E34" s="108">
        <v>4</v>
      </c>
      <c r="F34" s="108">
        <v>16</v>
      </c>
      <c r="H34" s="101"/>
      <c r="I34" s="101"/>
      <c r="K34" s="101"/>
      <c r="L34" s="101"/>
      <c r="M34" s="108"/>
      <c r="N34" s="108"/>
      <c r="O34" s="108"/>
      <c r="P34" s="108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</row>
    <row r="35" spans="1:33" x14ac:dyDescent="0.2">
      <c r="A35" s="108" t="s">
        <v>54</v>
      </c>
      <c r="B35" s="108">
        <v>8.89</v>
      </c>
      <c r="C35" s="108">
        <v>9.31</v>
      </c>
      <c r="D35" s="108">
        <v>8.91</v>
      </c>
      <c r="E35" s="108">
        <v>9.33</v>
      </c>
      <c r="F35" s="108">
        <v>36.44</v>
      </c>
      <c r="H35" s="101"/>
      <c r="I35" s="101"/>
      <c r="K35" s="101"/>
      <c r="L35" s="101"/>
      <c r="M35" s="108"/>
      <c r="N35" s="108"/>
      <c r="O35" s="108"/>
      <c r="P35" s="108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</row>
    <row r="36" spans="1:33" x14ac:dyDescent="0.2">
      <c r="A36" s="108" t="s">
        <v>125</v>
      </c>
      <c r="B36" s="108">
        <v>2.2225000000000001</v>
      </c>
      <c r="C36" s="108">
        <v>2.3275000000000001</v>
      </c>
      <c r="D36" s="108">
        <v>2.2275</v>
      </c>
      <c r="E36" s="108">
        <v>2.3325</v>
      </c>
      <c r="F36" s="108">
        <v>2.2774999999999999</v>
      </c>
      <c r="H36" s="101"/>
      <c r="I36" s="101"/>
      <c r="K36" s="101"/>
      <c r="L36" s="101"/>
      <c r="M36" s="108"/>
      <c r="N36" s="108"/>
      <c r="O36" s="108"/>
      <c r="P36" s="108"/>
      <c r="Q36" s="108"/>
      <c r="R36" s="108"/>
      <c r="S36" s="108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</row>
    <row r="37" spans="1:33" x14ac:dyDescent="0.2">
      <c r="A37" s="108" t="s">
        <v>28</v>
      </c>
      <c r="B37" s="108">
        <v>1.0158333333331862E-2</v>
      </c>
      <c r="C37" s="108">
        <v>1.8824999999999648E-2</v>
      </c>
      <c r="D37" s="108">
        <v>8.1583333333341557E-3</v>
      </c>
      <c r="E37" s="108">
        <v>1.3891666666669522E-2</v>
      </c>
      <c r="F37" s="108">
        <v>1.3153333333334179E-2</v>
      </c>
      <c r="H37" s="101"/>
      <c r="I37" s="101"/>
      <c r="K37" s="101"/>
      <c r="L37" s="101"/>
      <c r="M37" s="108"/>
      <c r="N37" s="108"/>
      <c r="O37" s="108"/>
      <c r="P37" s="108"/>
      <c r="Q37" s="108"/>
      <c r="R37" s="108"/>
      <c r="S37" s="108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</row>
    <row r="38" spans="1:33" x14ac:dyDescent="0.2">
      <c r="A38" s="108"/>
      <c r="B38" s="108"/>
      <c r="C38" s="108"/>
      <c r="D38" s="108"/>
      <c r="E38" s="108"/>
      <c r="F38" s="108"/>
      <c r="H38" s="101"/>
      <c r="I38" s="101"/>
      <c r="K38" s="101"/>
      <c r="L38" s="101"/>
      <c r="M38" s="108"/>
      <c r="N38" s="108"/>
      <c r="O38" s="108"/>
      <c r="P38" s="108"/>
      <c r="Q38" s="108"/>
      <c r="R38" s="108"/>
      <c r="S38" s="108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</row>
    <row r="39" spans="1:33" ht="13.5" thickBot="1" x14ac:dyDescent="0.25">
      <c r="A39" s="112" t="s">
        <v>64</v>
      </c>
      <c r="B39" s="112"/>
      <c r="C39" s="112"/>
      <c r="D39" s="112"/>
      <c r="E39" s="112"/>
      <c r="H39" s="101"/>
      <c r="I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</row>
    <row r="40" spans="1:33" x14ac:dyDescent="0.2">
      <c r="A40" s="108" t="s">
        <v>169</v>
      </c>
      <c r="B40" s="108">
        <v>12</v>
      </c>
      <c r="C40" s="108">
        <v>12</v>
      </c>
      <c r="D40" s="108">
        <v>12</v>
      </c>
      <c r="E40" s="108">
        <v>12</v>
      </c>
      <c r="H40" s="101"/>
      <c r="I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</row>
    <row r="41" spans="1:33" x14ac:dyDescent="0.2">
      <c r="A41" s="108" t="s">
        <v>54</v>
      </c>
      <c r="B41" s="108">
        <v>27.89</v>
      </c>
      <c r="C41" s="108">
        <v>32.270000000000003</v>
      </c>
      <c r="D41" s="108">
        <v>28.7</v>
      </c>
      <c r="E41" s="108">
        <v>30.49</v>
      </c>
      <c r="H41" s="101"/>
      <c r="I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</row>
    <row r="42" spans="1:33" x14ac:dyDescent="0.2">
      <c r="A42" s="108" t="s">
        <v>125</v>
      </c>
      <c r="B42" s="108">
        <v>2.3241666666666667</v>
      </c>
      <c r="C42" s="108">
        <v>2.6891666666666669</v>
      </c>
      <c r="D42" s="108">
        <v>2.3916666666666671</v>
      </c>
      <c r="E42" s="108">
        <v>2.5408333333333335</v>
      </c>
      <c r="H42" s="101"/>
      <c r="I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</row>
    <row r="43" spans="1:33" x14ac:dyDescent="0.2">
      <c r="A43" s="108" t="s">
        <v>28</v>
      </c>
      <c r="B43" s="108">
        <v>1.4626515151515595E-2</v>
      </c>
      <c r="C43" s="108">
        <v>0.11600833333333392</v>
      </c>
      <c r="D43" s="108">
        <v>3.2142424242422862E-2</v>
      </c>
      <c r="E43" s="108">
        <v>5.2990151515150401E-2</v>
      </c>
      <c r="H43" s="101"/>
      <c r="I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</row>
    <row r="44" spans="1:33" x14ac:dyDescent="0.2">
      <c r="A44" s="108"/>
      <c r="B44" s="108"/>
      <c r="C44" s="108"/>
      <c r="D44" s="108"/>
      <c r="E44" s="108"/>
      <c r="H44" s="101"/>
      <c r="I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</row>
    <row r="45" spans="1:33" x14ac:dyDescent="0.2"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</row>
    <row r="46" spans="1:33" ht="13.5" thickBot="1" x14ac:dyDescent="0.25">
      <c r="A46" s="100" t="s">
        <v>59</v>
      </c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</row>
    <row r="47" spans="1:33" x14ac:dyDescent="0.2">
      <c r="A47" s="106" t="s">
        <v>170</v>
      </c>
      <c r="B47" s="106" t="s">
        <v>60</v>
      </c>
      <c r="C47" s="106" t="s">
        <v>29</v>
      </c>
      <c r="D47" s="106" t="s">
        <v>61</v>
      </c>
      <c r="E47" s="106" t="s">
        <v>62</v>
      </c>
      <c r="F47" s="106" t="s">
        <v>183</v>
      </c>
      <c r="G47" s="106" t="s">
        <v>63</v>
      </c>
      <c r="H47" s="101"/>
      <c r="I47" s="107"/>
      <c r="J47" s="107"/>
      <c r="K47" s="107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</row>
    <row r="48" spans="1:33" x14ac:dyDescent="0.2">
      <c r="A48" s="108" t="s">
        <v>180</v>
      </c>
      <c r="B48" s="108">
        <v>1.0983291666666672</v>
      </c>
      <c r="C48" s="108">
        <v>2</v>
      </c>
      <c r="D48" s="108">
        <v>0.54916458333333362</v>
      </c>
      <c r="E48" s="108">
        <v>19.839860508291736</v>
      </c>
      <c r="F48" s="108">
        <v>1.5552979878979682E-6</v>
      </c>
      <c r="G48" s="108">
        <v>3.2594463061946737</v>
      </c>
      <c r="H48" s="101"/>
      <c r="I48" s="108"/>
      <c r="J48" s="108"/>
      <c r="K48" s="108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</row>
    <row r="49" spans="1:33" x14ac:dyDescent="0.2">
      <c r="A49" s="108" t="s">
        <v>114</v>
      </c>
      <c r="B49" s="108">
        <v>0.95245625000000045</v>
      </c>
      <c r="C49" s="108">
        <v>3</v>
      </c>
      <c r="D49" s="108">
        <v>0.3174854166666668</v>
      </c>
      <c r="E49" s="108">
        <v>11.469906420130965</v>
      </c>
      <c r="F49" s="108">
        <v>2.0001775005308163E-5</v>
      </c>
      <c r="G49" s="108">
        <v>2.866265557082313</v>
      </c>
      <c r="H49" s="101"/>
      <c r="I49" s="108"/>
      <c r="J49" s="108"/>
      <c r="K49" s="108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</row>
    <row r="50" spans="1:33" x14ac:dyDescent="0.2">
      <c r="A50" s="108" t="s">
        <v>181</v>
      </c>
      <c r="B50" s="108">
        <v>0.27863749999999943</v>
      </c>
      <c r="C50" s="108">
        <v>6</v>
      </c>
      <c r="D50" s="108">
        <v>4.6439583333333236E-2</v>
      </c>
      <c r="E50" s="108">
        <v>1.6777390300810318</v>
      </c>
      <c r="F50" s="108">
        <v>0.15479356465290561</v>
      </c>
      <c r="G50" s="108">
        <v>2.3637509584411101</v>
      </c>
      <c r="H50" s="101"/>
      <c r="I50" s="108"/>
      <c r="J50" s="108"/>
      <c r="K50" s="108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</row>
    <row r="51" spans="1:33" x14ac:dyDescent="0.2">
      <c r="A51" s="108" t="s">
        <v>182</v>
      </c>
      <c r="B51" s="108">
        <v>0.99647500000000022</v>
      </c>
      <c r="C51" s="108">
        <v>36</v>
      </c>
      <c r="D51" s="108">
        <v>2.7679861111111117E-2</v>
      </c>
      <c r="E51" s="108"/>
      <c r="F51" s="108"/>
      <c r="G51" s="108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</row>
    <row r="52" spans="1:33" x14ac:dyDescent="0.2">
      <c r="A52" s="108"/>
      <c r="B52" s="108"/>
      <c r="C52" s="108"/>
      <c r="D52" s="108"/>
      <c r="E52" s="108"/>
      <c r="F52" s="108"/>
      <c r="G52" s="108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</row>
    <row r="53" spans="1:33" ht="13.5" thickBot="1" x14ac:dyDescent="0.25">
      <c r="A53" s="110" t="s">
        <v>64</v>
      </c>
      <c r="B53" s="110">
        <v>3.3258979166666673</v>
      </c>
      <c r="C53" s="110">
        <v>47</v>
      </c>
      <c r="D53" s="110"/>
      <c r="E53" s="110"/>
      <c r="F53" s="110"/>
      <c r="G53" s="110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</row>
    <row r="54" spans="1:33" x14ac:dyDescent="0.2">
      <c r="A54" s="108"/>
      <c r="B54" s="108"/>
      <c r="C54" s="108"/>
      <c r="D54" s="108"/>
      <c r="E54" s="108"/>
      <c r="F54" s="101"/>
      <c r="G54" s="101"/>
      <c r="H54" s="101"/>
      <c r="I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</row>
    <row r="55" spans="1:33" x14ac:dyDescent="0.2">
      <c r="A55" s="108"/>
      <c r="B55" s="108"/>
      <c r="C55" s="108"/>
      <c r="D55" s="108"/>
      <c r="E55" s="108"/>
      <c r="F55" s="101"/>
      <c r="G55" s="101"/>
      <c r="H55" s="101"/>
      <c r="I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</row>
    <row r="56" spans="1:33" x14ac:dyDescent="0.2">
      <c r="A56" s="108"/>
      <c r="B56" s="108"/>
      <c r="C56" s="108"/>
      <c r="D56" s="108"/>
      <c r="E56" s="108"/>
      <c r="F56" s="101"/>
      <c r="G56" s="101"/>
      <c r="H56" s="101"/>
      <c r="I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</row>
    <row r="57" spans="1:33" x14ac:dyDescent="0.2">
      <c r="A57" s="109"/>
      <c r="B57" s="109"/>
      <c r="C57" s="109"/>
      <c r="D57" s="109"/>
      <c r="E57" s="109"/>
      <c r="F57" s="101"/>
      <c r="G57" s="101"/>
      <c r="H57" s="101"/>
      <c r="I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</row>
    <row r="58" spans="1:33" x14ac:dyDescent="0.2">
      <c r="A58" s="108"/>
      <c r="B58" s="108"/>
      <c r="C58" s="108"/>
      <c r="D58" s="108"/>
      <c r="E58" s="108"/>
      <c r="F58" s="101"/>
      <c r="G58" s="101"/>
      <c r="H58" s="101"/>
      <c r="I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</row>
    <row r="59" spans="1:33" x14ac:dyDescent="0.2">
      <c r="A59" s="108"/>
      <c r="B59" s="108"/>
      <c r="C59" s="108"/>
      <c r="D59" s="108"/>
      <c r="E59" s="108"/>
      <c r="F59" s="101"/>
      <c r="G59" s="101"/>
      <c r="H59" s="101"/>
      <c r="I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</row>
    <row r="60" spans="1:33" x14ac:dyDescent="0.2">
      <c r="A60" s="108"/>
      <c r="B60" s="108"/>
      <c r="C60" s="108"/>
      <c r="D60" s="108"/>
      <c r="E60" s="108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</row>
    <row r="61" spans="1:33" x14ac:dyDescent="0.2">
      <c r="A61" s="108"/>
      <c r="B61" s="108"/>
      <c r="C61" s="108"/>
      <c r="D61" s="108"/>
      <c r="E61" s="108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</row>
    <row r="62" spans="1:33" x14ac:dyDescent="0.2">
      <c r="A62" s="108"/>
      <c r="B62" s="108"/>
      <c r="C62" s="108"/>
      <c r="D62" s="108"/>
      <c r="E62" s="108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</row>
    <row r="63" spans="1:33" x14ac:dyDescent="0.2">
      <c r="A63" s="109"/>
      <c r="B63" s="109"/>
      <c r="C63" s="109"/>
      <c r="D63" s="109"/>
      <c r="E63" s="109"/>
      <c r="F63" s="101"/>
      <c r="G63" s="101"/>
      <c r="H63" s="109"/>
      <c r="I63" s="109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</row>
    <row r="64" spans="1:33" x14ac:dyDescent="0.2">
      <c r="A64" s="108"/>
      <c r="B64" s="108"/>
      <c r="C64" s="108"/>
      <c r="D64" s="108"/>
      <c r="E64" s="108"/>
      <c r="F64" s="101"/>
      <c r="G64" s="101"/>
      <c r="H64" s="108"/>
      <c r="I64" s="108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</row>
    <row r="65" spans="1:33" x14ac:dyDescent="0.2">
      <c r="A65" s="108"/>
      <c r="B65" s="108"/>
      <c r="C65" s="108"/>
      <c r="D65" s="108"/>
      <c r="E65" s="108"/>
      <c r="F65" s="101"/>
      <c r="G65" s="101"/>
      <c r="H65" s="108"/>
      <c r="I65" s="108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</row>
    <row r="66" spans="1:33" x14ac:dyDescent="0.2">
      <c r="A66" s="108"/>
      <c r="B66" s="108"/>
      <c r="C66" s="108"/>
      <c r="D66" s="108"/>
      <c r="E66" s="108"/>
      <c r="F66" s="101"/>
      <c r="G66" s="101"/>
      <c r="H66" s="108"/>
      <c r="I66" s="108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</row>
    <row r="67" spans="1:33" x14ac:dyDescent="0.2">
      <c r="A67" s="108"/>
      <c r="B67" s="108"/>
      <c r="C67" s="108"/>
      <c r="D67" s="108"/>
      <c r="E67" s="108"/>
      <c r="F67" s="101"/>
      <c r="G67" s="101"/>
      <c r="H67" s="108"/>
      <c r="I67" s="108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</row>
    <row r="68" spans="1:33" x14ac:dyDescent="0.2">
      <c r="A68" s="108"/>
      <c r="B68" s="108"/>
      <c r="C68" s="108"/>
      <c r="D68" s="108"/>
      <c r="E68" s="108"/>
      <c r="F68" s="101"/>
      <c r="G68" s="101"/>
      <c r="H68" s="108"/>
      <c r="I68" s="108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</row>
    <row r="69" spans="1:33" x14ac:dyDescent="0.2">
      <c r="A69" s="109"/>
      <c r="B69" s="109"/>
      <c r="C69" s="109"/>
      <c r="D69" s="109"/>
      <c r="E69" s="109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</row>
    <row r="70" spans="1:33" x14ac:dyDescent="0.2">
      <c r="A70" s="108"/>
      <c r="B70" s="108"/>
      <c r="C70" s="108"/>
      <c r="D70" s="108"/>
      <c r="E70" s="108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</row>
    <row r="71" spans="1:33" x14ac:dyDescent="0.2">
      <c r="A71" s="108"/>
      <c r="B71" s="108"/>
      <c r="C71" s="108"/>
      <c r="D71" s="108"/>
      <c r="E71" s="108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</row>
    <row r="72" spans="1:33" x14ac:dyDescent="0.2">
      <c r="A72" s="108"/>
      <c r="B72" s="108"/>
      <c r="C72" s="108"/>
      <c r="D72" s="108"/>
      <c r="E72" s="108"/>
      <c r="F72" s="101"/>
      <c r="G72" s="101"/>
      <c r="H72" s="101"/>
      <c r="I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</row>
    <row r="73" spans="1:33" x14ac:dyDescent="0.2">
      <c r="A73" s="108"/>
      <c r="B73" s="108"/>
      <c r="C73" s="108"/>
      <c r="D73" s="108"/>
      <c r="E73" s="108"/>
      <c r="F73" s="101"/>
      <c r="G73" s="101"/>
      <c r="H73" s="101"/>
      <c r="I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</row>
    <row r="74" spans="1:33" x14ac:dyDescent="0.2">
      <c r="A74" s="108"/>
      <c r="B74" s="108"/>
      <c r="C74" s="108"/>
      <c r="D74" s="108"/>
      <c r="E74" s="108"/>
      <c r="F74" s="101"/>
      <c r="G74" s="101"/>
      <c r="H74" s="101"/>
      <c r="I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</row>
    <row r="75" spans="1:33" x14ac:dyDescent="0.2">
      <c r="A75" s="109"/>
      <c r="B75" s="109"/>
      <c r="C75" s="109"/>
      <c r="D75" s="109"/>
      <c r="E75" s="109"/>
      <c r="F75" s="101"/>
      <c r="G75" s="101"/>
      <c r="H75" s="101"/>
      <c r="I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</row>
    <row r="76" spans="1:33" x14ac:dyDescent="0.2">
      <c r="A76" s="108"/>
      <c r="B76" s="108"/>
      <c r="C76" s="108"/>
      <c r="D76" s="108"/>
      <c r="E76" s="108"/>
      <c r="F76" s="101"/>
      <c r="G76" s="101"/>
      <c r="H76" s="101"/>
      <c r="I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</row>
    <row r="77" spans="1:33" x14ac:dyDescent="0.2">
      <c r="A77" s="108"/>
      <c r="B77" s="108"/>
      <c r="C77" s="108"/>
      <c r="D77" s="108"/>
      <c r="E77" s="108"/>
      <c r="F77" s="101"/>
      <c r="G77" s="101"/>
      <c r="H77" s="101"/>
      <c r="I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</row>
    <row r="78" spans="1:33" x14ac:dyDescent="0.2">
      <c r="A78" s="108"/>
      <c r="B78" s="108"/>
      <c r="C78" s="108"/>
      <c r="D78" s="108"/>
      <c r="E78" s="108"/>
      <c r="F78" s="101"/>
      <c r="G78" s="101"/>
      <c r="H78" s="101"/>
      <c r="I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</row>
    <row r="79" spans="1:33" x14ac:dyDescent="0.2">
      <c r="A79" s="108"/>
      <c r="B79" s="108"/>
      <c r="C79" s="108"/>
      <c r="D79" s="108"/>
      <c r="E79" s="108"/>
      <c r="F79" s="101"/>
      <c r="G79" s="101"/>
      <c r="H79" s="101"/>
      <c r="I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</row>
    <row r="80" spans="1:33" x14ac:dyDescent="0.2">
      <c r="A80" s="108"/>
      <c r="B80" s="108"/>
      <c r="C80" s="108"/>
      <c r="D80" s="108"/>
      <c r="E80" s="108"/>
      <c r="F80" s="101"/>
      <c r="G80" s="101"/>
      <c r="H80" s="101"/>
      <c r="I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</row>
    <row r="81" spans="1:35" x14ac:dyDescent="0.2">
      <c r="A81" s="109"/>
      <c r="B81" s="109"/>
      <c r="C81" s="109"/>
      <c r="D81" s="109"/>
      <c r="E81" s="109"/>
      <c r="F81" s="101"/>
      <c r="G81" s="101"/>
      <c r="H81" s="101"/>
      <c r="I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</row>
    <row r="82" spans="1:35" x14ac:dyDescent="0.2">
      <c r="A82" s="108"/>
      <c r="B82" s="108"/>
      <c r="C82" s="108"/>
      <c r="D82" s="108"/>
      <c r="E82" s="108"/>
      <c r="F82" s="101"/>
      <c r="G82" s="101"/>
      <c r="H82" s="101"/>
      <c r="I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</row>
    <row r="83" spans="1:35" x14ac:dyDescent="0.2">
      <c r="A83" s="108"/>
      <c r="B83" s="108"/>
      <c r="C83" s="108"/>
      <c r="D83" s="108"/>
      <c r="E83" s="108"/>
      <c r="F83" s="101"/>
      <c r="G83" s="101"/>
      <c r="H83" s="101"/>
      <c r="I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</row>
    <row r="84" spans="1:35" x14ac:dyDescent="0.2">
      <c r="A84" s="108"/>
      <c r="B84" s="108"/>
      <c r="C84" s="108"/>
      <c r="D84" s="108"/>
      <c r="E84" s="108"/>
      <c r="F84" s="101"/>
      <c r="G84" s="101"/>
      <c r="H84" s="101"/>
      <c r="I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</row>
    <row r="85" spans="1:35" x14ac:dyDescent="0.2">
      <c r="A85" s="108"/>
      <c r="B85" s="108"/>
      <c r="C85" s="108"/>
      <c r="D85" s="108"/>
      <c r="E85" s="108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</row>
    <row r="86" spans="1:35" x14ac:dyDescent="0.2">
      <c r="A86" s="108"/>
      <c r="B86" s="108"/>
      <c r="C86" s="108"/>
      <c r="D86" s="108"/>
      <c r="E86" s="108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</row>
    <row r="87" spans="1:35" ht="13.5" thickBot="1" x14ac:dyDescent="0.25">
      <c r="A87" s="109"/>
      <c r="B87" s="109"/>
      <c r="C87" s="109"/>
      <c r="D87" s="109"/>
      <c r="E87" s="109"/>
      <c r="F87" s="109"/>
      <c r="G87" s="109"/>
      <c r="H87" s="112"/>
      <c r="I87" s="112"/>
      <c r="J87" s="112"/>
      <c r="K87" s="109"/>
      <c r="L87" s="109"/>
      <c r="M87" s="109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</row>
    <row r="88" spans="1:35" x14ac:dyDescent="0.2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</row>
    <row r="89" spans="1:35" x14ac:dyDescent="0.2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</row>
    <row r="90" spans="1:35" x14ac:dyDescent="0.2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</row>
    <row r="91" spans="1:35" x14ac:dyDescent="0.2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</row>
    <row r="92" spans="1:35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</row>
    <row r="93" spans="1:35" x14ac:dyDescent="0.2">
      <c r="A93" s="101"/>
      <c r="B93" s="101"/>
      <c r="C93" s="101"/>
      <c r="D93" s="101"/>
      <c r="E93" s="101"/>
      <c r="F93" s="101"/>
      <c r="G93" s="101"/>
      <c r="H93" s="101"/>
      <c r="I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</row>
    <row r="94" spans="1:35" x14ac:dyDescent="0.2">
      <c r="A94" s="101"/>
      <c r="B94" s="101"/>
      <c r="C94" s="101"/>
      <c r="D94" s="101"/>
      <c r="E94" s="101"/>
      <c r="F94" s="101"/>
      <c r="G94" s="101"/>
      <c r="H94" s="101"/>
      <c r="I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</row>
    <row r="95" spans="1:35" x14ac:dyDescent="0.2">
      <c r="A95" s="107"/>
      <c r="B95" s="107"/>
      <c r="C95" s="107"/>
      <c r="D95" s="107"/>
      <c r="E95" s="107"/>
      <c r="F95" s="107"/>
      <c r="G95" s="107"/>
      <c r="H95" s="101"/>
      <c r="I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</row>
    <row r="96" spans="1:35" x14ac:dyDescent="0.2">
      <c r="A96" s="108"/>
      <c r="B96" s="108"/>
      <c r="C96" s="108"/>
      <c r="D96" s="108"/>
      <c r="E96" s="108"/>
      <c r="F96" s="108"/>
      <c r="G96" s="108"/>
      <c r="H96" s="101"/>
      <c r="I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</row>
    <row r="97" spans="1:33" x14ac:dyDescent="0.2">
      <c r="A97" s="108"/>
      <c r="B97" s="108"/>
      <c r="C97" s="108"/>
      <c r="D97" s="108"/>
      <c r="E97" s="108"/>
      <c r="F97" s="108"/>
      <c r="G97" s="108"/>
      <c r="H97" s="101"/>
      <c r="I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</row>
    <row r="98" spans="1:33" x14ac:dyDescent="0.2">
      <c r="A98" s="108"/>
      <c r="B98" s="108"/>
      <c r="C98" s="108"/>
      <c r="D98" s="108"/>
      <c r="E98" s="108"/>
      <c r="F98" s="108"/>
      <c r="G98" s="108"/>
      <c r="H98" s="101"/>
      <c r="I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</row>
    <row r="99" spans="1:33" x14ac:dyDescent="0.2">
      <c r="A99" s="108"/>
      <c r="B99" s="108"/>
      <c r="C99" s="108"/>
      <c r="D99" s="108"/>
      <c r="E99" s="108"/>
      <c r="F99" s="108"/>
      <c r="G99" s="108"/>
      <c r="H99" s="101"/>
      <c r="I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</row>
    <row r="100" spans="1:33" x14ac:dyDescent="0.2">
      <c r="A100" s="108"/>
      <c r="B100" s="108"/>
      <c r="C100" s="108"/>
      <c r="D100" s="108"/>
      <c r="E100" s="108"/>
      <c r="F100" s="108"/>
      <c r="G100" s="108"/>
      <c r="H100" s="101"/>
      <c r="I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</row>
    <row r="101" spans="1:33" x14ac:dyDescent="0.2">
      <c r="A101" s="108"/>
      <c r="B101" s="108"/>
      <c r="C101" s="108"/>
      <c r="D101" s="108"/>
      <c r="E101" s="108"/>
      <c r="F101" s="108"/>
      <c r="G101" s="108"/>
      <c r="H101" s="101"/>
      <c r="I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</row>
    <row r="102" spans="1:33" x14ac:dyDescent="0.2">
      <c r="A102" s="101"/>
      <c r="B102" s="101"/>
      <c r="C102" s="101"/>
      <c r="D102" s="101"/>
      <c r="E102" s="101"/>
      <c r="F102" s="101"/>
      <c r="G102" s="101"/>
      <c r="H102" s="101"/>
      <c r="I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</row>
    <row r="103" spans="1:33" x14ac:dyDescent="0.2">
      <c r="A103" s="101"/>
      <c r="B103" s="101"/>
      <c r="C103" s="101"/>
      <c r="D103" s="101"/>
      <c r="E103" s="101"/>
      <c r="F103" s="101"/>
      <c r="G103" s="101"/>
      <c r="H103" s="101"/>
      <c r="I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</row>
    <row r="104" spans="1:33" x14ac:dyDescent="0.2">
      <c r="A104" s="101"/>
      <c r="B104" s="101"/>
      <c r="C104" s="101"/>
      <c r="D104" s="101"/>
      <c r="E104" s="101"/>
      <c r="F104" s="101"/>
      <c r="G104" s="101"/>
      <c r="H104" s="101"/>
      <c r="I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</row>
    <row r="105" spans="1:33" x14ac:dyDescent="0.2">
      <c r="A105" s="101"/>
      <c r="B105" s="101"/>
      <c r="C105" s="101"/>
      <c r="D105" s="101"/>
      <c r="E105" s="101"/>
      <c r="F105" s="101"/>
      <c r="G105" s="101"/>
      <c r="H105" s="101"/>
      <c r="I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</row>
    <row r="106" spans="1:33" x14ac:dyDescent="0.2">
      <c r="A106" s="101"/>
      <c r="B106" s="101"/>
      <c r="C106" s="101"/>
      <c r="D106" s="101"/>
      <c r="E106" s="101"/>
      <c r="F106" s="101"/>
      <c r="G106" s="101"/>
      <c r="H106" s="101"/>
      <c r="I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</row>
    <row r="107" spans="1:33" x14ac:dyDescent="0.2">
      <c r="A107" s="101"/>
      <c r="B107" s="101"/>
      <c r="C107" s="101"/>
      <c r="D107" s="101"/>
      <c r="E107" s="101"/>
      <c r="F107" s="101"/>
      <c r="G107" s="101"/>
      <c r="H107" s="101"/>
      <c r="I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</row>
    <row r="108" spans="1:33" x14ac:dyDescent="0.2">
      <c r="A108" s="101"/>
      <c r="B108" s="101"/>
      <c r="C108" s="101"/>
      <c r="D108" s="101"/>
      <c r="E108" s="101"/>
      <c r="F108" s="101"/>
      <c r="G108" s="101"/>
      <c r="H108" s="101"/>
      <c r="I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</row>
    <row r="109" spans="1:33" x14ac:dyDescent="0.2">
      <c r="A109" s="101"/>
      <c r="B109" s="101"/>
      <c r="C109" s="101"/>
      <c r="D109" s="101"/>
      <c r="E109" s="101"/>
      <c r="F109" s="101"/>
      <c r="G109" s="101"/>
      <c r="H109" s="101"/>
      <c r="I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</row>
    <row r="110" spans="1:33" x14ac:dyDescent="0.2">
      <c r="A110" s="101"/>
      <c r="B110" s="101"/>
      <c r="C110" s="101"/>
      <c r="D110" s="101"/>
      <c r="E110" s="101"/>
      <c r="F110" s="101"/>
      <c r="G110" s="101"/>
      <c r="H110" s="101"/>
      <c r="I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</row>
    <row r="111" spans="1:33" x14ac:dyDescent="0.2">
      <c r="A111" s="101"/>
      <c r="B111" s="101"/>
      <c r="C111" s="101"/>
      <c r="D111" s="101"/>
      <c r="E111" s="101"/>
      <c r="F111" s="101"/>
      <c r="G111" s="101"/>
      <c r="H111" s="101"/>
      <c r="I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</row>
    <row r="112" spans="1:33" x14ac:dyDescent="0.2">
      <c r="A112" s="101"/>
      <c r="B112" s="101"/>
      <c r="C112" s="101"/>
      <c r="D112" s="101"/>
      <c r="E112" s="101"/>
      <c r="F112" s="101"/>
      <c r="G112" s="101"/>
      <c r="H112" s="101"/>
      <c r="I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</row>
    <row r="113" spans="1:33" x14ac:dyDescent="0.2">
      <c r="A113" s="101"/>
      <c r="B113" s="101"/>
      <c r="C113" s="101"/>
      <c r="D113" s="101"/>
      <c r="E113" s="101"/>
      <c r="F113" s="101"/>
      <c r="G113" s="101"/>
      <c r="H113" s="101"/>
      <c r="I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</row>
    <row r="114" spans="1:33" x14ac:dyDescent="0.2">
      <c r="A114" s="101"/>
      <c r="B114" s="101"/>
      <c r="C114" s="101"/>
      <c r="D114" s="101"/>
      <c r="E114" s="101"/>
      <c r="F114" s="101"/>
      <c r="G114" s="101"/>
      <c r="H114" s="101"/>
      <c r="I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</row>
    <row r="115" spans="1:33" x14ac:dyDescent="0.2">
      <c r="A115" s="101"/>
      <c r="B115" s="101"/>
      <c r="C115" s="101"/>
      <c r="D115" s="101"/>
      <c r="E115" s="101"/>
      <c r="F115" s="101"/>
      <c r="G115" s="101"/>
      <c r="H115" s="101"/>
      <c r="I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</row>
    <row r="116" spans="1:33" x14ac:dyDescent="0.2">
      <c r="A116" s="101"/>
      <c r="B116" s="101"/>
      <c r="C116" s="101"/>
      <c r="D116" s="101"/>
      <c r="E116" s="101"/>
      <c r="F116" s="101"/>
      <c r="G116" s="101"/>
      <c r="H116" s="101"/>
      <c r="I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</row>
    <row r="117" spans="1:33" x14ac:dyDescent="0.2">
      <c r="A117" s="101"/>
      <c r="B117" s="101"/>
      <c r="C117" s="101"/>
      <c r="D117" s="101"/>
      <c r="E117" s="101"/>
      <c r="F117" s="101"/>
      <c r="G117" s="101"/>
      <c r="H117" s="101"/>
      <c r="I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</row>
    <row r="118" spans="1:33" x14ac:dyDescent="0.2">
      <c r="A118" s="101"/>
      <c r="B118" s="101"/>
      <c r="C118" s="101"/>
      <c r="D118" s="101"/>
      <c r="E118" s="101"/>
      <c r="F118" s="101"/>
      <c r="G118" s="101"/>
      <c r="H118" s="101"/>
      <c r="I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</row>
    <row r="119" spans="1:33" x14ac:dyDescent="0.2">
      <c r="A119" s="101"/>
      <c r="B119" s="101"/>
      <c r="C119" s="101"/>
      <c r="D119" s="101"/>
      <c r="E119" s="101"/>
      <c r="F119" s="101"/>
      <c r="G119" s="101"/>
      <c r="H119" s="101"/>
      <c r="I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</row>
    <row r="120" spans="1:33" x14ac:dyDescent="0.2">
      <c r="A120" s="101"/>
      <c r="B120" s="101"/>
      <c r="C120" s="101"/>
      <c r="D120" s="101"/>
      <c r="E120" s="101"/>
      <c r="F120" s="101"/>
      <c r="G120" s="101"/>
      <c r="H120" s="101"/>
      <c r="I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</row>
    <row r="121" spans="1:33" x14ac:dyDescent="0.2">
      <c r="A121" s="101"/>
      <c r="B121" s="101"/>
      <c r="C121" s="101"/>
      <c r="D121" s="101"/>
      <c r="E121" s="101"/>
      <c r="F121" s="101"/>
      <c r="G121" s="101"/>
      <c r="H121" s="101"/>
      <c r="I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</row>
    <row r="122" spans="1:33" x14ac:dyDescent="0.2">
      <c r="A122" s="101"/>
      <c r="B122" s="101"/>
      <c r="C122" s="101"/>
      <c r="D122" s="101"/>
      <c r="E122" s="101"/>
      <c r="F122" s="101"/>
      <c r="G122" s="101"/>
      <c r="H122" s="101"/>
      <c r="I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</row>
    <row r="123" spans="1:33" x14ac:dyDescent="0.2">
      <c r="A123" s="101"/>
      <c r="B123" s="101"/>
      <c r="C123" s="101"/>
      <c r="D123" s="101"/>
      <c r="E123" s="101"/>
      <c r="F123" s="101"/>
      <c r="G123" s="101"/>
      <c r="H123" s="101"/>
      <c r="I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</row>
    <row r="124" spans="1:33" x14ac:dyDescent="0.2">
      <c r="A124" s="101"/>
      <c r="B124" s="101"/>
      <c r="C124" s="101"/>
      <c r="D124" s="101"/>
      <c r="E124" s="101"/>
      <c r="F124" s="101"/>
      <c r="G124" s="101"/>
      <c r="H124" s="101"/>
      <c r="I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</row>
    <row r="125" spans="1:33" x14ac:dyDescent="0.2">
      <c r="A125" s="101"/>
      <c r="B125" s="101"/>
      <c r="C125" s="101"/>
      <c r="D125" s="101"/>
      <c r="E125" s="101"/>
      <c r="F125" s="101"/>
      <c r="G125" s="101"/>
      <c r="H125" s="101"/>
      <c r="I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</row>
    <row r="126" spans="1:33" x14ac:dyDescent="0.2">
      <c r="A126" s="101"/>
      <c r="B126" s="101"/>
      <c r="C126" s="101"/>
      <c r="D126" s="101"/>
      <c r="E126" s="101"/>
      <c r="F126" s="101"/>
      <c r="G126" s="101"/>
      <c r="H126" s="101"/>
      <c r="I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</row>
    <row r="127" spans="1:33" x14ac:dyDescent="0.2">
      <c r="A127" s="101"/>
      <c r="B127" s="101"/>
      <c r="C127" s="101"/>
      <c r="D127" s="101"/>
      <c r="E127" s="101"/>
      <c r="F127" s="101"/>
      <c r="G127" s="101"/>
      <c r="H127" s="101"/>
      <c r="I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</row>
    <row r="128" spans="1:33" x14ac:dyDescent="0.2">
      <c r="A128" s="101"/>
      <c r="B128" s="101"/>
      <c r="C128" s="101"/>
      <c r="D128" s="101"/>
      <c r="E128" s="101"/>
      <c r="F128" s="101"/>
      <c r="G128" s="101"/>
      <c r="H128" s="101"/>
      <c r="I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</row>
    <row r="129" spans="1:33" x14ac:dyDescent="0.2">
      <c r="A129" s="101"/>
      <c r="B129" s="101"/>
      <c r="C129" s="101"/>
      <c r="D129" s="101"/>
      <c r="E129" s="101"/>
      <c r="F129" s="101"/>
      <c r="G129" s="101"/>
      <c r="H129" s="101"/>
      <c r="I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</row>
    <row r="130" spans="1:33" x14ac:dyDescent="0.2">
      <c r="A130" s="101"/>
      <c r="B130" s="101"/>
      <c r="C130" s="101"/>
      <c r="D130" s="101"/>
      <c r="E130" s="101"/>
      <c r="F130" s="101"/>
      <c r="G130" s="101"/>
      <c r="H130" s="101"/>
      <c r="I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</row>
    <row r="131" spans="1:33" x14ac:dyDescent="0.2">
      <c r="A131" s="101"/>
      <c r="B131" s="101"/>
      <c r="C131" s="101"/>
      <c r="D131" s="101"/>
      <c r="E131" s="101"/>
      <c r="F131" s="101"/>
      <c r="G131" s="101"/>
      <c r="H131" s="101"/>
      <c r="I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</row>
    <row r="132" spans="1:33" x14ac:dyDescent="0.2">
      <c r="A132" s="101"/>
      <c r="B132" s="101"/>
      <c r="C132" s="101"/>
      <c r="D132" s="101"/>
      <c r="E132" s="101"/>
      <c r="F132" s="101"/>
      <c r="G132" s="101"/>
      <c r="H132" s="101"/>
      <c r="I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</row>
    <row r="133" spans="1:33" x14ac:dyDescent="0.2">
      <c r="A133" s="101"/>
      <c r="B133" s="101"/>
      <c r="C133" s="101"/>
      <c r="D133" s="101"/>
      <c r="E133" s="101"/>
      <c r="F133" s="101"/>
      <c r="G133" s="101"/>
      <c r="H133" s="101"/>
      <c r="I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</row>
    <row r="134" spans="1:33" x14ac:dyDescent="0.2">
      <c r="A134" s="101"/>
      <c r="B134" s="101"/>
      <c r="C134" s="101"/>
      <c r="D134" s="101"/>
      <c r="E134" s="101"/>
      <c r="F134" s="101"/>
      <c r="G134" s="101"/>
      <c r="H134" s="101"/>
      <c r="I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</row>
    <row r="135" spans="1:33" x14ac:dyDescent="0.2">
      <c r="A135" s="101"/>
      <c r="B135" s="101"/>
      <c r="C135" s="101"/>
      <c r="D135" s="101"/>
      <c r="E135" s="101"/>
      <c r="F135" s="101"/>
      <c r="G135" s="101"/>
      <c r="H135" s="101"/>
      <c r="I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</row>
    <row r="136" spans="1:33" x14ac:dyDescent="0.2">
      <c r="A136" s="101"/>
      <c r="B136" s="101"/>
      <c r="C136" s="101"/>
      <c r="D136" s="101"/>
      <c r="E136" s="101"/>
      <c r="F136" s="101"/>
      <c r="G136" s="101"/>
      <c r="H136" s="101"/>
      <c r="I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</row>
    <row r="137" spans="1:33" x14ac:dyDescent="0.2">
      <c r="A137" s="101"/>
      <c r="B137" s="101"/>
      <c r="C137" s="101"/>
      <c r="D137" s="101"/>
      <c r="E137" s="101"/>
      <c r="F137" s="101"/>
      <c r="G137" s="101"/>
      <c r="H137" s="101"/>
      <c r="I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</row>
    <row r="138" spans="1:33" x14ac:dyDescent="0.2">
      <c r="A138" s="101"/>
      <c r="B138" s="101"/>
      <c r="C138" s="101"/>
      <c r="D138" s="101"/>
      <c r="E138" s="101"/>
      <c r="F138" s="101"/>
      <c r="G138" s="101"/>
      <c r="H138" s="101"/>
      <c r="I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</row>
    <row r="139" spans="1:33" x14ac:dyDescent="0.2">
      <c r="A139" s="101"/>
      <c r="B139" s="101"/>
      <c r="C139" s="101"/>
      <c r="D139" s="101"/>
      <c r="E139" s="101"/>
      <c r="F139" s="101"/>
      <c r="G139" s="101"/>
      <c r="H139" s="101"/>
      <c r="I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</row>
    <row r="140" spans="1:33" x14ac:dyDescent="0.2">
      <c r="A140" s="101"/>
      <c r="B140" s="101"/>
      <c r="C140" s="101"/>
      <c r="D140" s="101"/>
      <c r="E140" s="101"/>
      <c r="F140" s="101"/>
      <c r="G140" s="101"/>
      <c r="H140" s="101"/>
      <c r="I140" s="101"/>
    </row>
    <row r="141" spans="1:33" x14ac:dyDescent="0.2">
      <c r="A141" s="101"/>
      <c r="B141" s="101"/>
      <c r="C141" s="101"/>
      <c r="D141" s="101"/>
      <c r="E141" s="101"/>
      <c r="F141" s="101"/>
      <c r="G141" s="101"/>
      <c r="H141" s="101"/>
      <c r="I141" s="101"/>
    </row>
    <row r="142" spans="1:33" x14ac:dyDescent="0.2">
      <c r="A142" s="101"/>
      <c r="B142" s="101"/>
      <c r="C142" s="101"/>
      <c r="D142" s="101"/>
      <c r="E142" s="101"/>
      <c r="F142" s="101"/>
      <c r="G142" s="101"/>
      <c r="H142" s="101"/>
      <c r="I142" s="101"/>
    </row>
    <row r="143" spans="1:33" x14ac:dyDescent="0.2">
      <c r="A143" s="101"/>
      <c r="B143" s="101"/>
      <c r="C143" s="101"/>
      <c r="D143" s="101"/>
      <c r="E143" s="101"/>
      <c r="F143" s="101"/>
      <c r="G143" s="101"/>
      <c r="H143" s="101"/>
      <c r="I143" s="101"/>
    </row>
    <row r="144" spans="1:33" x14ac:dyDescent="0.2">
      <c r="A144" s="101"/>
      <c r="B144" s="101"/>
      <c r="C144" s="101"/>
      <c r="D144" s="101"/>
      <c r="E144" s="101"/>
      <c r="F144" s="101"/>
      <c r="G144" s="101"/>
      <c r="H144" s="101"/>
      <c r="I144" s="101"/>
    </row>
    <row r="145" spans="1:9" x14ac:dyDescent="0.2">
      <c r="A145" s="101"/>
      <c r="B145" s="101"/>
      <c r="C145" s="101"/>
      <c r="D145" s="101"/>
      <c r="E145" s="101"/>
      <c r="F145" s="101"/>
      <c r="G145" s="101"/>
      <c r="H145" s="101"/>
      <c r="I145" s="101"/>
    </row>
    <row r="146" spans="1:9" x14ac:dyDescent="0.2">
      <c r="A146" s="101"/>
      <c r="B146" s="101"/>
      <c r="C146" s="101"/>
      <c r="D146" s="101"/>
      <c r="E146" s="101"/>
      <c r="F146" s="101"/>
      <c r="G146" s="101"/>
      <c r="H146" s="101"/>
      <c r="I146" s="101"/>
    </row>
    <row r="147" spans="1:9" x14ac:dyDescent="0.2">
      <c r="A147" s="101"/>
      <c r="B147" s="101"/>
      <c r="C147" s="101"/>
      <c r="D147" s="101"/>
      <c r="E147" s="101"/>
      <c r="F147" s="101"/>
      <c r="G147" s="101"/>
      <c r="H147" s="101"/>
      <c r="I147" s="101"/>
    </row>
    <row r="148" spans="1:9" x14ac:dyDescent="0.2">
      <c r="A148" s="101"/>
      <c r="B148" s="101"/>
      <c r="C148" s="101"/>
      <c r="D148" s="101"/>
      <c r="E148" s="101"/>
      <c r="F148" s="101"/>
      <c r="G148" s="101"/>
      <c r="H148" s="101"/>
      <c r="I148" s="101"/>
    </row>
    <row r="149" spans="1:9" x14ac:dyDescent="0.2">
      <c r="A149" s="101"/>
      <c r="B149" s="101"/>
      <c r="C149" s="101"/>
      <c r="D149" s="101"/>
      <c r="E149" s="101"/>
      <c r="F149" s="101"/>
      <c r="G149" s="101"/>
      <c r="H149" s="101"/>
      <c r="I149" s="101"/>
    </row>
    <row r="150" spans="1:9" x14ac:dyDescent="0.2">
      <c r="A150" s="101"/>
      <c r="B150" s="101"/>
      <c r="C150" s="101"/>
      <c r="D150" s="101"/>
      <c r="E150" s="101"/>
      <c r="F150" s="101"/>
      <c r="G150" s="101"/>
      <c r="H150" s="101"/>
      <c r="I150" s="101"/>
    </row>
    <row r="151" spans="1:9" x14ac:dyDescent="0.2">
      <c r="A151" s="101"/>
      <c r="B151" s="101"/>
      <c r="C151" s="101"/>
      <c r="D151" s="101"/>
      <c r="E151" s="101"/>
      <c r="F151" s="101"/>
      <c r="G151" s="101"/>
      <c r="H151" s="101"/>
      <c r="I151" s="101"/>
    </row>
    <row r="152" spans="1:9" x14ac:dyDescent="0.2">
      <c r="A152" s="101"/>
      <c r="B152" s="101"/>
      <c r="C152" s="101"/>
      <c r="D152" s="101"/>
      <c r="E152" s="101"/>
      <c r="F152" s="101"/>
      <c r="G152" s="101"/>
      <c r="H152" s="101"/>
      <c r="I152" s="101"/>
    </row>
    <row r="153" spans="1:9" x14ac:dyDescent="0.2">
      <c r="A153" s="101"/>
      <c r="B153" s="101"/>
      <c r="C153" s="101"/>
      <c r="D153" s="101"/>
      <c r="E153" s="101"/>
      <c r="F153" s="101"/>
      <c r="G153" s="101"/>
      <c r="H153" s="101"/>
      <c r="I153" s="101"/>
    </row>
    <row r="154" spans="1:9" x14ac:dyDescent="0.2">
      <c r="A154" s="101"/>
      <c r="B154" s="101"/>
      <c r="C154" s="101"/>
      <c r="D154" s="101"/>
      <c r="E154" s="101"/>
      <c r="F154" s="101"/>
      <c r="G154" s="101"/>
      <c r="H154" s="101"/>
      <c r="I154" s="101"/>
    </row>
    <row r="155" spans="1:9" x14ac:dyDescent="0.2">
      <c r="A155" s="101"/>
      <c r="B155" s="101"/>
      <c r="C155" s="101"/>
      <c r="D155" s="101"/>
      <c r="E155" s="101"/>
      <c r="F155" s="101"/>
      <c r="G155" s="101"/>
      <c r="H155" s="101"/>
      <c r="I155" s="101"/>
    </row>
    <row r="156" spans="1:9" x14ac:dyDescent="0.2">
      <c r="A156" s="101"/>
      <c r="B156" s="101"/>
      <c r="C156" s="101"/>
      <c r="D156" s="101"/>
      <c r="E156" s="101"/>
      <c r="F156" s="101"/>
      <c r="G156" s="101"/>
      <c r="H156" s="101"/>
      <c r="I156" s="101"/>
    </row>
    <row r="157" spans="1:9" x14ac:dyDescent="0.2">
      <c r="A157" s="101"/>
      <c r="B157" s="101"/>
      <c r="C157" s="101"/>
      <c r="D157" s="101"/>
      <c r="E157" s="101"/>
      <c r="F157" s="101"/>
      <c r="G157" s="101"/>
      <c r="H157" s="101"/>
      <c r="I157" s="101"/>
    </row>
    <row r="158" spans="1:9" x14ac:dyDescent="0.2">
      <c r="A158" s="101"/>
      <c r="B158" s="101"/>
      <c r="C158" s="101"/>
      <c r="D158" s="101"/>
      <c r="E158" s="101"/>
      <c r="F158" s="101"/>
      <c r="G158" s="101"/>
      <c r="H158" s="101"/>
      <c r="I158" s="101"/>
    </row>
    <row r="159" spans="1:9" x14ac:dyDescent="0.2">
      <c r="A159" s="101"/>
      <c r="B159" s="101"/>
      <c r="C159" s="101"/>
      <c r="D159" s="101"/>
      <c r="E159" s="101"/>
      <c r="F159" s="101"/>
      <c r="G159" s="101"/>
      <c r="H159" s="101"/>
      <c r="I159" s="101"/>
    </row>
    <row r="160" spans="1:9" x14ac:dyDescent="0.2">
      <c r="A160" s="101"/>
      <c r="B160" s="101"/>
      <c r="C160" s="101"/>
      <c r="D160" s="101"/>
      <c r="E160" s="101"/>
      <c r="F160" s="101"/>
      <c r="G160" s="101"/>
      <c r="H160" s="101"/>
      <c r="I160" s="101"/>
    </row>
    <row r="161" spans="1:9" x14ac:dyDescent="0.2">
      <c r="A161" s="101"/>
      <c r="B161" s="101"/>
      <c r="C161" s="101"/>
      <c r="D161" s="101"/>
      <c r="E161" s="101"/>
      <c r="F161" s="101"/>
      <c r="G161" s="101"/>
      <c r="H161" s="101"/>
      <c r="I161" s="101"/>
    </row>
    <row r="162" spans="1:9" x14ac:dyDescent="0.2">
      <c r="A162" s="101"/>
      <c r="B162" s="101"/>
      <c r="C162" s="101"/>
      <c r="D162" s="101"/>
      <c r="E162" s="101"/>
      <c r="F162" s="101"/>
      <c r="G162" s="101"/>
      <c r="H162" s="101"/>
      <c r="I162" s="101"/>
    </row>
    <row r="163" spans="1:9" x14ac:dyDescent="0.2">
      <c r="A163" s="101"/>
      <c r="B163" s="101"/>
      <c r="C163" s="101"/>
      <c r="D163" s="101"/>
      <c r="E163" s="101"/>
      <c r="F163" s="101"/>
      <c r="G163" s="101"/>
      <c r="H163" s="101"/>
      <c r="I163" s="101"/>
    </row>
    <row r="164" spans="1:9" x14ac:dyDescent="0.2">
      <c r="A164" s="101"/>
      <c r="B164" s="101"/>
      <c r="C164" s="101"/>
      <c r="D164" s="101"/>
      <c r="E164" s="101"/>
      <c r="F164" s="101"/>
      <c r="G164" s="101"/>
      <c r="H164" s="101"/>
      <c r="I164" s="101"/>
    </row>
    <row r="165" spans="1:9" x14ac:dyDescent="0.2">
      <c r="A165" s="101"/>
      <c r="B165" s="101"/>
      <c r="C165" s="101"/>
      <c r="D165" s="101"/>
      <c r="E165" s="101"/>
      <c r="F165" s="101"/>
      <c r="G165" s="101"/>
      <c r="H165" s="101"/>
      <c r="I165" s="101"/>
    </row>
    <row r="166" spans="1:9" x14ac:dyDescent="0.2">
      <c r="A166" s="101"/>
      <c r="B166" s="101"/>
      <c r="C166" s="101"/>
      <c r="D166" s="101"/>
      <c r="E166" s="101"/>
      <c r="F166" s="101"/>
      <c r="G166" s="101"/>
      <c r="H166" s="101"/>
      <c r="I166" s="101"/>
    </row>
    <row r="167" spans="1:9" x14ac:dyDescent="0.2">
      <c r="A167" s="101"/>
      <c r="B167" s="101"/>
      <c r="C167" s="101"/>
      <c r="D167" s="101"/>
      <c r="E167" s="101"/>
      <c r="F167" s="101"/>
      <c r="G167" s="101"/>
      <c r="H167" s="101"/>
      <c r="I167" s="101"/>
    </row>
    <row r="168" spans="1:9" x14ac:dyDescent="0.2">
      <c r="A168" s="101"/>
      <c r="B168" s="101"/>
      <c r="C168" s="101"/>
      <c r="D168" s="101"/>
      <c r="E168" s="101"/>
      <c r="F168" s="101"/>
      <c r="G168" s="101"/>
      <c r="H168" s="101"/>
      <c r="I168" s="101"/>
    </row>
    <row r="169" spans="1:9" x14ac:dyDescent="0.2">
      <c r="A169" s="101"/>
      <c r="B169" s="101"/>
      <c r="C169" s="101"/>
      <c r="D169" s="101"/>
      <c r="E169" s="101"/>
      <c r="F169" s="101"/>
      <c r="G169" s="101"/>
      <c r="H169" s="101"/>
      <c r="I169" s="101"/>
    </row>
    <row r="170" spans="1:9" x14ac:dyDescent="0.2">
      <c r="A170" s="101"/>
      <c r="B170" s="101"/>
      <c r="C170" s="101"/>
      <c r="D170" s="101"/>
      <c r="E170" s="101"/>
      <c r="F170" s="101"/>
      <c r="G170" s="101"/>
      <c r="H170" s="101"/>
      <c r="I170" s="101"/>
    </row>
    <row r="171" spans="1:9" x14ac:dyDescent="0.2">
      <c r="A171" s="101"/>
      <c r="B171" s="101"/>
      <c r="C171" s="101"/>
      <c r="D171" s="101"/>
      <c r="E171" s="101"/>
      <c r="F171" s="101"/>
      <c r="G171" s="101"/>
      <c r="H171" s="101"/>
      <c r="I171" s="101"/>
    </row>
  </sheetData>
  <hyperlinks>
    <hyperlink ref="F1" location="Meny!A1" tooltip="Gå til arket &quot;Meny&quot;" display="Hovedmeny"/>
  </hyperlinks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7" workbookViewId="0">
      <selection activeCell="A32" sqref="A32"/>
    </sheetView>
  </sheetViews>
  <sheetFormatPr defaultColWidth="11.42578125" defaultRowHeight="15" x14ac:dyDescent="0.25"/>
  <cols>
    <col min="1" max="1" width="21.42578125" style="52" customWidth="1"/>
    <col min="2" max="16384" width="11.42578125" style="52"/>
  </cols>
  <sheetData>
    <row r="1" spans="1:7" x14ac:dyDescent="0.25">
      <c r="A1" s="52" t="s">
        <v>118</v>
      </c>
      <c r="C1" s="115" t="s">
        <v>126</v>
      </c>
    </row>
    <row r="4" spans="1:7" x14ac:dyDescent="0.25">
      <c r="B4" s="52" t="s">
        <v>120</v>
      </c>
      <c r="C4" s="52" t="s">
        <v>121</v>
      </c>
      <c r="E4" s="52" t="s">
        <v>75</v>
      </c>
    </row>
    <row r="5" spans="1:7" ht="18.75" x14ac:dyDescent="0.35">
      <c r="B5" s="52">
        <v>44.7</v>
      </c>
      <c r="C5" s="52">
        <v>43.5</v>
      </c>
      <c r="E5" s="53" t="s">
        <v>81</v>
      </c>
      <c r="F5" s="52">
        <v>1.3</v>
      </c>
    </row>
    <row r="6" spans="1:7" ht="18.75" x14ac:dyDescent="0.35">
      <c r="B6" s="52">
        <v>43.6</v>
      </c>
      <c r="C6" s="52">
        <v>41.9</v>
      </c>
      <c r="E6" s="53" t="s">
        <v>82</v>
      </c>
      <c r="F6" s="54">
        <v>1</v>
      </c>
    </row>
    <row r="7" spans="1:7" x14ac:dyDescent="0.25">
      <c r="B7" s="52">
        <v>42.6</v>
      </c>
      <c r="C7" s="52">
        <v>42.1</v>
      </c>
    </row>
    <row r="8" spans="1:7" x14ac:dyDescent="0.25">
      <c r="B8" s="52">
        <v>45.5</v>
      </c>
      <c r="C8" s="52">
        <v>42.4</v>
      </c>
    </row>
    <row r="9" spans="1:7" ht="18" x14ac:dyDescent="0.35">
      <c r="B9" s="52">
        <v>44.8</v>
      </c>
      <c r="C9" s="52">
        <v>43.2</v>
      </c>
      <c r="E9" s="53" t="s">
        <v>83</v>
      </c>
      <c r="F9" s="52">
        <v>0</v>
      </c>
    </row>
    <row r="10" spans="1:7" x14ac:dyDescent="0.25">
      <c r="B10" s="52">
        <v>42.9</v>
      </c>
      <c r="C10" s="52">
        <v>44</v>
      </c>
    </row>
    <row r="11" spans="1:7" ht="18" x14ac:dyDescent="0.35">
      <c r="C11" s="52">
        <v>41.9</v>
      </c>
      <c r="E11" s="55" t="s">
        <v>84</v>
      </c>
      <c r="F11" s="52">
        <f>ABS(($B$14-$C$14)-$F$9)/(SQRT($F$5/$B$17+$F$6/$C$17))</f>
        <v>1.846236008308237</v>
      </c>
    </row>
    <row r="12" spans="1:7" x14ac:dyDescent="0.25">
      <c r="C12" s="52">
        <v>44.5</v>
      </c>
    </row>
    <row r="14" spans="1:7" x14ac:dyDescent="0.25">
      <c r="A14" s="52" t="s">
        <v>194</v>
      </c>
      <c r="B14" s="56">
        <f>AVERAGE(B5:B10)</f>
        <v>44.016666666666659</v>
      </c>
      <c r="C14" s="56">
        <f>AVERAGE(C5:C12)</f>
        <v>42.9375</v>
      </c>
      <c r="E14" s="57" t="s">
        <v>193</v>
      </c>
      <c r="G14" s="52">
        <v>0.05</v>
      </c>
    </row>
    <row r="16" spans="1:7" ht="18" x14ac:dyDescent="0.35">
      <c r="B16" s="58" t="s">
        <v>18</v>
      </c>
      <c r="C16" s="58" t="s">
        <v>85</v>
      </c>
      <c r="F16" s="55" t="s">
        <v>86</v>
      </c>
      <c r="G16" s="56">
        <f>-NORMSINV($G$14/2)</f>
        <v>1.9599639845400538</v>
      </c>
    </row>
    <row r="17" spans="1:8" x14ac:dyDescent="0.25">
      <c r="B17" s="59">
        <v>6</v>
      </c>
      <c r="C17" s="59">
        <v>8</v>
      </c>
    </row>
    <row r="19" spans="1:8" x14ac:dyDescent="0.25">
      <c r="E19" s="52" t="str">
        <f>IF($F$11&gt;$G$16,"H0 forkastes !","H0 forkastes ikke !")</f>
        <v>H0 forkastes ikke !</v>
      </c>
    </row>
    <row r="22" spans="1:8" x14ac:dyDescent="0.25">
      <c r="E22" s="52" t="s">
        <v>134</v>
      </c>
      <c r="H22" s="60">
        <f>2*(1-NORMSDIST($F$11))</f>
        <v>6.4857944701060655E-2</v>
      </c>
    </row>
    <row r="24" spans="1:8" x14ac:dyDescent="0.25">
      <c r="A24" s="52" t="s">
        <v>138</v>
      </c>
    </row>
    <row r="26" spans="1:8" x14ac:dyDescent="0.25">
      <c r="A26" s="52" t="s">
        <v>135</v>
      </c>
    </row>
    <row r="28" spans="1:8" x14ac:dyDescent="0.25">
      <c r="B28" s="52" t="s">
        <v>26</v>
      </c>
      <c r="C28" s="52" t="s">
        <v>27</v>
      </c>
    </row>
    <row r="29" spans="1:8" x14ac:dyDescent="0.25">
      <c r="A29" s="52" t="s">
        <v>125</v>
      </c>
      <c r="B29" s="52">
        <v>44.016666666666659</v>
      </c>
      <c r="C29" s="52">
        <v>42.9375</v>
      </c>
    </row>
    <row r="30" spans="1:8" x14ac:dyDescent="0.25">
      <c r="A30" s="52" t="s">
        <v>136</v>
      </c>
      <c r="B30" s="52">
        <v>1.3</v>
      </c>
      <c r="C30" s="52">
        <v>1</v>
      </c>
    </row>
    <row r="31" spans="1:8" x14ac:dyDescent="0.25">
      <c r="A31" s="52" t="s">
        <v>127</v>
      </c>
      <c r="B31" s="52">
        <v>6</v>
      </c>
      <c r="C31" s="52">
        <v>8</v>
      </c>
    </row>
    <row r="32" spans="1:8" x14ac:dyDescent="0.25">
      <c r="A32" s="52" t="s">
        <v>137</v>
      </c>
      <c r="B32" s="52">
        <v>0</v>
      </c>
    </row>
    <row r="33" spans="1:2" x14ac:dyDescent="0.25">
      <c r="A33" s="52" t="s">
        <v>13</v>
      </c>
      <c r="B33" s="52">
        <v>1.846236008308237</v>
      </c>
    </row>
    <row r="34" spans="1:2" x14ac:dyDescent="0.25">
      <c r="A34" s="52" t="s">
        <v>77</v>
      </c>
      <c r="B34" s="52">
        <v>3.2428972350530438E-2</v>
      </c>
    </row>
    <row r="35" spans="1:2" x14ac:dyDescent="0.25">
      <c r="A35" s="52" t="s">
        <v>78</v>
      </c>
      <c r="B35" s="52">
        <v>1.6448536269514724</v>
      </c>
    </row>
    <row r="36" spans="1:2" x14ac:dyDescent="0.25">
      <c r="A36" s="52" t="s">
        <v>79</v>
      </c>
      <c r="B36" s="52">
        <v>6.4857944701060877E-2</v>
      </c>
    </row>
    <row r="37" spans="1:2" x14ac:dyDescent="0.25">
      <c r="A37" s="52" t="s">
        <v>80</v>
      </c>
      <c r="B37" s="52">
        <v>1.959963984540054</v>
      </c>
    </row>
  </sheetData>
  <phoneticPr fontId="1" type="noConversion"/>
  <hyperlinks>
    <hyperlink ref="C1" location="Meny!A1" tooltip="Gå til arket &quot;Meny&quot;" display="Hovedmeny"/>
  </hyperlinks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6"/>
  <sheetViews>
    <sheetView zoomScale="85" zoomScaleNormal="85" workbookViewId="0">
      <selection activeCell="J2" sqref="J2"/>
    </sheetView>
  </sheetViews>
  <sheetFormatPr defaultColWidth="11.42578125" defaultRowHeight="15" x14ac:dyDescent="0.25"/>
  <cols>
    <col min="1" max="1" width="9" customWidth="1"/>
    <col min="2" max="2" width="8" customWidth="1"/>
  </cols>
  <sheetData>
    <row r="1" spans="1:10" x14ac:dyDescent="0.25">
      <c r="A1" s="1" t="s">
        <v>10</v>
      </c>
      <c r="C1" t="s">
        <v>139</v>
      </c>
      <c r="J1" s="115" t="s">
        <v>126</v>
      </c>
    </row>
    <row r="4" spans="1:10" x14ac:dyDescent="0.25">
      <c r="A4" s="9" t="s">
        <v>7</v>
      </c>
      <c r="B4">
        <v>8</v>
      </c>
      <c r="F4" s="6" t="s">
        <v>11</v>
      </c>
    </row>
    <row r="5" spans="1:10" x14ac:dyDescent="0.25">
      <c r="A5" s="14" t="s">
        <v>9</v>
      </c>
      <c r="B5">
        <v>3.5</v>
      </c>
      <c r="D5" s="14" t="s">
        <v>12</v>
      </c>
      <c r="E5" s="6" t="s">
        <v>13</v>
      </c>
      <c r="F5" s="6" t="s">
        <v>15</v>
      </c>
    </row>
    <row r="6" spans="1:10" ht="18" x14ac:dyDescent="0.35">
      <c r="A6" s="6" t="s">
        <v>5</v>
      </c>
      <c r="B6">
        <v>122.7</v>
      </c>
      <c r="D6" s="2">
        <v>120</v>
      </c>
      <c r="E6">
        <f t="shared" ref="E6:E26" si="0">$B$8-(D6-$B$6)*SQRT($B$4)/$B$5</f>
        <v>3.8267831231842502</v>
      </c>
      <c r="F6">
        <f t="shared" ref="F6:F26" si="1">1-NORMSDIST(E6)</f>
        <v>6.4914402698956764E-5</v>
      </c>
    </row>
    <row r="7" spans="1:10" x14ac:dyDescent="0.25">
      <c r="A7" s="14" t="s">
        <v>14</v>
      </c>
      <c r="B7">
        <v>0.05</v>
      </c>
      <c r="D7">
        <v>120.5</v>
      </c>
      <c r="E7">
        <f t="shared" si="0"/>
        <v>3.4227221053633659</v>
      </c>
      <c r="F7">
        <f t="shared" si="1"/>
        <v>3.0998712301133491E-4</v>
      </c>
    </row>
    <row r="8" spans="1:10" ht="16.5" x14ac:dyDescent="0.3">
      <c r="A8" s="6" t="s">
        <v>16</v>
      </c>
      <c r="B8" s="5">
        <f>-NORMSINV(B7)</f>
        <v>1.6448536269514726</v>
      </c>
      <c r="D8" s="2">
        <v>121</v>
      </c>
      <c r="E8">
        <f t="shared" si="0"/>
        <v>3.0186610875424815</v>
      </c>
      <c r="F8">
        <f t="shared" si="1"/>
        <v>1.2694719157285705E-3</v>
      </c>
    </row>
    <row r="9" spans="1:10" x14ac:dyDescent="0.25">
      <c r="D9">
        <v>121.5</v>
      </c>
      <c r="E9">
        <f t="shared" si="0"/>
        <v>2.6146000697215972</v>
      </c>
      <c r="F9">
        <f t="shared" si="1"/>
        <v>4.4665993803063575E-3</v>
      </c>
    </row>
    <row r="10" spans="1:10" x14ac:dyDescent="0.25">
      <c r="D10" s="2">
        <v>122</v>
      </c>
      <c r="E10">
        <f t="shared" si="0"/>
        <v>2.2105390519007129</v>
      </c>
      <c r="F10">
        <f t="shared" si="1"/>
        <v>1.3533886677841056E-2</v>
      </c>
    </row>
    <row r="11" spans="1:10" x14ac:dyDescent="0.25">
      <c r="D11">
        <v>122.5</v>
      </c>
      <c r="E11">
        <f t="shared" si="0"/>
        <v>1.8064780340798288</v>
      </c>
      <c r="F11">
        <f t="shared" si="1"/>
        <v>3.5421851110444269E-2</v>
      </c>
    </row>
    <row r="12" spans="1:10" x14ac:dyDescent="0.25">
      <c r="D12" s="2">
        <v>123</v>
      </c>
      <c r="E12">
        <f t="shared" si="0"/>
        <v>1.4024170162589444</v>
      </c>
      <c r="F12">
        <f t="shared" si="1"/>
        <v>8.0395377468443718E-2</v>
      </c>
    </row>
    <row r="13" spans="1:10" x14ac:dyDescent="0.25">
      <c r="D13">
        <v>123.5</v>
      </c>
      <c r="E13">
        <f t="shared" si="0"/>
        <v>0.99835599843806</v>
      </c>
      <c r="F13">
        <f t="shared" si="1"/>
        <v>0.15905338117247836</v>
      </c>
    </row>
    <row r="14" spans="1:10" x14ac:dyDescent="0.25">
      <c r="D14" s="2">
        <v>124</v>
      </c>
      <c r="E14">
        <f t="shared" si="0"/>
        <v>0.59429498061717556</v>
      </c>
      <c r="F14">
        <f t="shared" si="1"/>
        <v>0.27615741760818002</v>
      </c>
    </row>
    <row r="15" spans="1:10" x14ac:dyDescent="0.25">
      <c r="D15">
        <v>124.5</v>
      </c>
      <c r="E15">
        <f t="shared" si="0"/>
        <v>0.19023396279629123</v>
      </c>
      <c r="F15">
        <f t="shared" si="1"/>
        <v>0.42456289928284541</v>
      </c>
    </row>
    <row r="16" spans="1:10" x14ac:dyDescent="0.25">
      <c r="D16" s="2">
        <v>125</v>
      </c>
      <c r="E16">
        <f t="shared" si="0"/>
        <v>-0.21382705502459309</v>
      </c>
      <c r="F16">
        <f t="shared" si="1"/>
        <v>0.58465903699807042</v>
      </c>
    </row>
    <row r="17" spans="4:6" x14ac:dyDescent="0.25">
      <c r="D17">
        <v>125.5</v>
      </c>
      <c r="E17">
        <f t="shared" si="0"/>
        <v>-0.6178880728454772</v>
      </c>
      <c r="F17">
        <f t="shared" si="1"/>
        <v>0.73167543915015898</v>
      </c>
    </row>
    <row r="18" spans="4:6" x14ac:dyDescent="0.25">
      <c r="D18" s="2">
        <v>126</v>
      </c>
      <c r="E18">
        <f t="shared" si="0"/>
        <v>-1.0219490906663615</v>
      </c>
      <c r="F18">
        <f t="shared" si="1"/>
        <v>0.84659750187847571</v>
      </c>
    </row>
    <row r="19" spans="4:6" x14ac:dyDescent="0.25">
      <c r="D19">
        <v>126.5</v>
      </c>
      <c r="E19">
        <f t="shared" si="0"/>
        <v>-1.4260101084872459</v>
      </c>
      <c r="F19">
        <f t="shared" si="1"/>
        <v>0.92306728788471537</v>
      </c>
    </row>
    <row r="20" spans="4:6" x14ac:dyDescent="0.25">
      <c r="D20" s="2">
        <v>127</v>
      </c>
      <c r="E20">
        <f t="shared" si="0"/>
        <v>-1.8300711263081302</v>
      </c>
      <c r="F20">
        <f t="shared" si="1"/>
        <v>0.96638034808251072</v>
      </c>
    </row>
    <row r="21" spans="4:6" x14ac:dyDescent="0.25">
      <c r="D21">
        <v>127.5</v>
      </c>
      <c r="E21">
        <f t="shared" si="0"/>
        <v>-2.2341321441290143</v>
      </c>
      <c r="F21">
        <f t="shared" si="1"/>
        <v>0.98726281022228424</v>
      </c>
    </row>
    <row r="22" spans="4:6" x14ac:dyDescent="0.25">
      <c r="D22" s="2">
        <v>128</v>
      </c>
      <c r="E22">
        <f t="shared" si="0"/>
        <v>-2.6381931619498991</v>
      </c>
      <c r="F22">
        <f t="shared" si="1"/>
        <v>0.99583254546989686</v>
      </c>
    </row>
    <row r="23" spans="4:6" x14ac:dyDescent="0.25">
      <c r="D23">
        <v>128.5</v>
      </c>
      <c r="E23">
        <f t="shared" si="0"/>
        <v>-3.0422541797707829</v>
      </c>
      <c r="F23">
        <f t="shared" si="1"/>
        <v>0.99882593239563189</v>
      </c>
    </row>
    <row r="24" spans="4:6" x14ac:dyDescent="0.25">
      <c r="D24" s="2">
        <v>129</v>
      </c>
      <c r="E24">
        <f t="shared" si="0"/>
        <v>-3.4463151975916677</v>
      </c>
      <c r="F24">
        <f t="shared" si="1"/>
        <v>0.99971585644886596</v>
      </c>
    </row>
    <row r="25" spans="4:6" x14ac:dyDescent="0.25">
      <c r="D25">
        <v>129.5</v>
      </c>
      <c r="E25">
        <f t="shared" si="0"/>
        <v>-3.8503762154125525</v>
      </c>
      <c r="F25">
        <f t="shared" si="1"/>
        <v>0.99994103173744897</v>
      </c>
    </row>
    <row r="26" spans="4:6" x14ac:dyDescent="0.25">
      <c r="D26" s="2">
        <v>130</v>
      </c>
      <c r="E26">
        <f t="shared" si="0"/>
        <v>-4.2544372332334373</v>
      </c>
      <c r="F26">
        <f t="shared" si="1"/>
        <v>0.99998952122824125</v>
      </c>
    </row>
  </sheetData>
  <phoneticPr fontId="0" type="noConversion"/>
  <hyperlinks>
    <hyperlink ref="J1" location="Meny!A1" tooltip="Gå til arket &quot;Meny&quot;" display="Hovedmeny"/>
  </hyperlinks>
  <pageMargins left="0.7" right="0.7" top="0.78740157499999996" bottom="0.78740157499999996" header="0.3" footer="0.3"/>
  <pageSetup paperSize="9" orientation="portrait" horizontalDpi="4294967292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74" r:id="rId4">
          <objectPr defaultSize="0" autoPict="0" r:id="rId5">
            <anchor moveWithCells="1">
              <from>
                <xdr:col>4</xdr:col>
                <xdr:colOff>523875</xdr:colOff>
                <xdr:row>0</xdr:row>
                <xdr:rowOff>104775</xdr:rowOff>
              </from>
              <to>
                <xdr:col>7</xdr:col>
                <xdr:colOff>666750</xdr:colOff>
                <xdr:row>2</xdr:row>
                <xdr:rowOff>47625</xdr:rowOff>
              </to>
            </anchor>
          </objectPr>
        </oleObject>
      </mc:Choice>
      <mc:Fallback>
        <oleObject progId="Equation.3" shapeId="307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6"/>
  <sheetViews>
    <sheetView zoomScale="85" zoomScaleNormal="85" workbookViewId="0">
      <selection activeCell="C1" sqref="C1"/>
    </sheetView>
  </sheetViews>
  <sheetFormatPr defaultColWidth="11.42578125" defaultRowHeight="15" x14ac:dyDescent="0.25"/>
  <cols>
    <col min="1" max="1" width="6.28515625" customWidth="1"/>
    <col min="2" max="2" width="9" customWidth="1"/>
    <col min="3" max="3" width="4" customWidth="1"/>
    <col min="4" max="4" width="8" customWidth="1"/>
    <col min="5" max="5" width="9.140625" customWidth="1"/>
    <col min="6" max="7" width="9.42578125" customWidth="1"/>
  </cols>
  <sheetData>
    <row r="1" spans="1:10" x14ac:dyDescent="0.25">
      <c r="A1" s="117" t="s">
        <v>17</v>
      </c>
      <c r="B1" s="117"/>
      <c r="C1" t="s">
        <v>140</v>
      </c>
      <c r="J1" s="115" t="s">
        <v>126</v>
      </c>
    </row>
    <row r="4" spans="1:10" ht="18" x14ac:dyDescent="0.35">
      <c r="E4" s="9" t="s">
        <v>18</v>
      </c>
      <c r="F4" s="9" t="s">
        <v>19</v>
      </c>
      <c r="G4" s="9" t="s">
        <v>20</v>
      </c>
    </row>
    <row r="5" spans="1:10" x14ac:dyDescent="0.25">
      <c r="A5" s="14" t="s">
        <v>9</v>
      </c>
      <c r="B5">
        <v>3.5</v>
      </c>
      <c r="D5" s="14" t="s">
        <v>12</v>
      </c>
      <c r="E5" s="6" t="s">
        <v>11</v>
      </c>
      <c r="F5" s="6" t="s">
        <v>11</v>
      </c>
      <c r="G5" s="6" t="s">
        <v>11</v>
      </c>
    </row>
    <row r="6" spans="1:10" ht="18" x14ac:dyDescent="0.35">
      <c r="A6" s="6" t="s">
        <v>5</v>
      </c>
      <c r="B6">
        <v>122.7</v>
      </c>
      <c r="D6" s="2">
        <v>120</v>
      </c>
      <c r="E6">
        <f t="shared" ref="E6:E37" si="0">1-NORMSDIST($B$8-(D6-$B$6)*SQRT($B$10)/$B$5)</f>
        <v>6.4914402698956764E-5</v>
      </c>
      <c r="F6">
        <f t="shared" ref="F6:F37" si="1">1-NORMSDIST($B$8-(D6-$B$6)*SQRT($B$11)/$B$5)</f>
        <v>1.8775722310238052E-8</v>
      </c>
      <c r="G6">
        <f t="shared" ref="G6:G37" si="2">1-NORMSDIST($B$8-(D6-$B$6)*SQRT($B$12)/$B$5)</f>
        <v>0</v>
      </c>
    </row>
    <row r="7" spans="1:10" x14ac:dyDescent="0.25">
      <c r="A7" s="14" t="s">
        <v>14</v>
      </c>
      <c r="B7">
        <v>0.05</v>
      </c>
      <c r="D7">
        <v>120.1</v>
      </c>
      <c r="E7">
        <f t="shared" si="0"/>
        <v>8.9848704149075864E-5</v>
      </c>
      <c r="F7">
        <f t="shared" si="1"/>
        <v>4.1809672279846666E-8</v>
      </c>
      <c r="G7">
        <f t="shared" si="2"/>
        <v>0</v>
      </c>
    </row>
    <row r="8" spans="1:10" ht="16.5" x14ac:dyDescent="0.3">
      <c r="A8" s="6" t="s">
        <v>16</v>
      </c>
      <c r="B8" s="5">
        <f>-NORMSINV(B7)</f>
        <v>1.6448536269514726</v>
      </c>
      <c r="D8" s="2">
        <v>120.2</v>
      </c>
      <c r="E8">
        <f t="shared" si="0"/>
        <v>1.2359261998073912E-4</v>
      </c>
      <c r="F8">
        <f t="shared" si="1"/>
        <v>9.1274997782164746E-8</v>
      </c>
      <c r="G8">
        <f t="shared" si="2"/>
        <v>0</v>
      </c>
    </row>
    <row r="9" spans="1:10" x14ac:dyDescent="0.25">
      <c r="D9">
        <v>120.3</v>
      </c>
      <c r="E9">
        <f t="shared" si="0"/>
        <v>1.6896160672397187E-4</v>
      </c>
      <c r="F9">
        <f t="shared" si="1"/>
        <v>1.9535919915103506E-7</v>
      </c>
      <c r="G9">
        <f t="shared" si="2"/>
        <v>0</v>
      </c>
    </row>
    <row r="10" spans="1:10" ht="18" x14ac:dyDescent="0.35">
      <c r="A10" s="9" t="s">
        <v>18</v>
      </c>
      <c r="B10">
        <v>8</v>
      </c>
      <c r="D10" s="2">
        <v>120.4</v>
      </c>
      <c r="E10">
        <f t="shared" si="0"/>
        <v>2.2956375344784785E-4</v>
      </c>
      <c r="F10">
        <f t="shared" si="1"/>
        <v>4.0995453065573173E-7</v>
      </c>
      <c r="G10">
        <f t="shared" si="2"/>
        <v>0</v>
      </c>
    </row>
    <row r="11" spans="1:10" ht="18" x14ac:dyDescent="0.35">
      <c r="A11" s="9" t="s">
        <v>19</v>
      </c>
      <c r="B11">
        <v>25</v>
      </c>
      <c r="D11">
        <v>120.5</v>
      </c>
      <c r="E11">
        <f t="shared" si="0"/>
        <v>3.0998712301133491E-4</v>
      </c>
      <c r="F11">
        <f t="shared" si="1"/>
        <v>8.4347265505435587E-7</v>
      </c>
      <c r="G11">
        <f t="shared" si="2"/>
        <v>0</v>
      </c>
    </row>
    <row r="12" spans="1:10" ht="18" x14ac:dyDescent="0.35">
      <c r="A12" s="9" t="s">
        <v>20</v>
      </c>
      <c r="B12">
        <v>999999</v>
      </c>
      <c r="D12" s="2">
        <v>120.6</v>
      </c>
      <c r="E12">
        <f t="shared" si="0"/>
        <v>4.1602031855381139E-4</v>
      </c>
      <c r="F12">
        <f t="shared" si="1"/>
        <v>1.7015882669557669E-6</v>
      </c>
      <c r="G12">
        <f t="shared" si="2"/>
        <v>0</v>
      </c>
    </row>
    <row r="13" spans="1:10" x14ac:dyDescent="0.25">
      <c r="D13">
        <v>120.7</v>
      </c>
      <c r="E13">
        <f t="shared" si="0"/>
        <v>5.5490897075760603E-4</v>
      </c>
      <c r="F13">
        <f t="shared" si="1"/>
        <v>3.3659047808942688E-6</v>
      </c>
      <c r="G13">
        <f t="shared" si="2"/>
        <v>0</v>
      </c>
    </row>
    <row r="14" spans="1:10" x14ac:dyDescent="0.25">
      <c r="D14" s="2">
        <v>120.8</v>
      </c>
      <c r="E14">
        <f t="shared" si="0"/>
        <v>7.3565010599718761E-4</v>
      </c>
      <c r="F14">
        <f t="shared" si="1"/>
        <v>6.5287477931663673E-6</v>
      </c>
      <c r="G14">
        <f t="shared" si="2"/>
        <v>0</v>
      </c>
    </row>
    <row r="15" spans="1:10" x14ac:dyDescent="0.25">
      <c r="D15">
        <v>120.9</v>
      </c>
      <c r="E15">
        <f t="shared" si="0"/>
        <v>9.6932528130033724E-4</v>
      </c>
      <c r="F15">
        <f t="shared" si="1"/>
        <v>1.2418146597137358E-5</v>
      </c>
      <c r="G15">
        <f t="shared" si="2"/>
        <v>0</v>
      </c>
    </row>
    <row r="16" spans="1:10" x14ac:dyDescent="0.25">
      <c r="D16" s="2">
        <v>121</v>
      </c>
      <c r="E16">
        <f t="shared" si="0"/>
        <v>1.2694719157285705E-3</v>
      </c>
      <c r="F16">
        <f t="shared" si="1"/>
        <v>2.3163381738244837E-5</v>
      </c>
      <c r="G16">
        <f t="shared" si="2"/>
        <v>0</v>
      </c>
    </row>
    <row r="17" spans="4:7" x14ac:dyDescent="0.25">
      <c r="D17">
        <v>121.1</v>
      </c>
      <c r="E17">
        <f t="shared" si="0"/>
        <v>1.6524903779669975E-3</v>
      </c>
      <c r="F17">
        <f t="shared" si="1"/>
        <v>4.237272573737183E-5</v>
      </c>
      <c r="G17">
        <f t="shared" si="2"/>
        <v>0</v>
      </c>
    </row>
    <row r="18" spans="4:7" x14ac:dyDescent="0.25">
      <c r="D18" s="2">
        <v>121.2</v>
      </c>
      <c r="E18">
        <f t="shared" si="0"/>
        <v>2.1380820932017652E-3</v>
      </c>
      <c r="F18">
        <f t="shared" si="1"/>
        <v>7.6020846327295999E-5</v>
      </c>
      <c r="G18">
        <f t="shared" si="2"/>
        <v>0</v>
      </c>
    </row>
    <row r="19" spans="4:7" x14ac:dyDescent="0.25">
      <c r="D19">
        <v>121.3</v>
      </c>
      <c r="E19">
        <f t="shared" si="0"/>
        <v>2.7497112197670814E-3</v>
      </c>
      <c r="F19">
        <f t="shared" si="1"/>
        <v>1.3377201459874311E-4</v>
      </c>
      <c r="G19">
        <f t="shared" si="2"/>
        <v>0</v>
      </c>
    </row>
    <row r="20" spans="4:7" x14ac:dyDescent="0.25">
      <c r="D20" s="2">
        <v>121.4</v>
      </c>
      <c r="E20">
        <f t="shared" si="0"/>
        <v>3.5150793592116925E-3</v>
      </c>
      <c r="F20">
        <f t="shared" si="1"/>
        <v>2.3089285623267841E-4</v>
      </c>
      <c r="G20">
        <f t="shared" si="2"/>
        <v>0</v>
      </c>
    </row>
    <row r="21" spans="4:7" x14ac:dyDescent="0.25">
      <c r="D21">
        <v>121.5</v>
      </c>
      <c r="E21">
        <f t="shared" si="0"/>
        <v>4.4665993803063575E-3</v>
      </c>
      <c r="F21">
        <f t="shared" si="1"/>
        <v>3.9092816671737474E-4</v>
      </c>
      <c r="G21">
        <f t="shared" si="2"/>
        <v>0</v>
      </c>
    </row>
    <row r="22" spans="4:7" x14ac:dyDescent="0.25">
      <c r="D22" s="2">
        <v>121.6</v>
      </c>
      <c r="E22">
        <f t="shared" si="0"/>
        <v>5.6418508765653241E-3</v>
      </c>
      <c r="F22">
        <f t="shared" si="1"/>
        <v>6.4931532622014565E-4</v>
      </c>
      <c r="G22">
        <f t="shared" si="2"/>
        <v>0</v>
      </c>
    </row>
    <row r="23" spans="4:7" x14ac:dyDescent="0.25">
      <c r="D23">
        <v>121.7</v>
      </c>
      <c r="E23">
        <f t="shared" si="0"/>
        <v>7.0839961992731348E-3</v>
      </c>
      <c r="F23">
        <f t="shared" si="1"/>
        <v>1.0580841680218889E-3</v>
      </c>
      <c r="G23">
        <f t="shared" si="2"/>
        <v>0</v>
      </c>
    </row>
    <row r="24" spans="4:7" x14ac:dyDescent="0.25">
      <c r="D24" s="2">
        <v>121.8</v>
      </c>
      <c r="E24">
        <f t="shared" si="0"/>
        <v>8.8421326170224912E-3</v>
      </c>
      <c r="F24">
        <f t="shared" si="1"/>
        <v>1.6917151453040846E-3</v>
      </c>
      <c r="G24">
        <f t="shared" si="2"/>
        <v>0</v>
      </c>
    </row>
    <row r="25" spans="4:7" x14ac:dyDescent="0.25">
      <c r="D25">
        <v>121.9</v>
      </c>
      <c r="E25">
        <f t="shared" si="0"/>
        <v>1.097155318944476E-2</v>
      </c>
      <c r="F25">
        <f t="shared" si="1"/>
        <v>2.6540955924301279E-3</v>
      </c>
      <c r="G25">
        <f t="shared" si="2"/>
        <v>0</v>
      </c>
    </row>
    <row r="26" spans="4:7" x14ac:dyDescent="0.25">
      <c r="D26" s="2">
        <v>122</v>
      </c>
      <c r="E26">
        <f t="shared" si="0"/>
        <v>1.3533886677841056E-2</v>
      </c>
      <c r="F26">
        <f t="shared" si="1"/>
        <v>4.0863130600331532E-3</v>
      </c>
      <c r="G26">
        <f t="shared" si="2"/>
        <v>0</v>
      </c>
    </row>
    <row r="27" spans="4:7" x14ac:dyDescent="0.25">
      <c r="D27">
        <v>122.1</v>
      </c>
      <c r="E27">
        <f t="shared" si="0"/>
        <v>1.6597085536641298E-2</v>
      </c>
      <c r="F27">
        <f t="shared" si="1"/>
        <v>6.174757564316069E-3</v>
      </c>
      <c r="G27">
        <f t="shared" si="2"/>
        <v>0</v>
      </c>
    </row>
    <row r="28" spans="4:7" x14ac:dyDescent="0.25">
      <c r="D28" s="2">
        <v>122.2</v>
      </c>
      <c r="E28">
        <f t="shared" si="0"/>
        <v>2.023523102516156E-2</v>
      </c>
      <c r="F28">
        <f t="shared" si="1"/>
        <v>9.1586881896468242E-3</v>
      </c>
      <c r="G28">
        <f t="shared" si="2"/>
        <v>0</v>
      </c>
    </row>
    <row r="29" spans="4:7" x14ac:dyDescent="0.25">
      <c r="D29">
        <v>122.3</v>
      </c>
      <c r="E29">
        <f t="shared" si="0"/>
        <v>2.4528126017143048E-2</v>
      </c>
      <c r="F29">
        <f t="shared" si="1"/>
        <v>1.3336090709983761E-2</v>
      </c>
      <c r="G29">
        <f t="shared" si="2"/>
        <v>0</v>
      </c>
    </row>
    <row r="30" spans="4:7" x14ac:dyDescent="0.25">
      <c r="D30" s="2">
        <v>122.4</v>
      </c>
      <c r="E30">
        <f t="shared" si="0"/>
        <v>2.9560649390722893E-2</v>
      </c>
      <c r="F30">
        <f t="shared" si="1"/>
        <v>1.9066369573960462E-2</v>
      </c>
      <c r="G30">
        <f t="shared" si="2"/>
        <v>0</v>
      </c>
    </row>
    <row r="31" spans="4:7" x14ac:dyDescent="0.25">
      <c r="D31">
        <v>122.5</v>
      </c>
      <c r="E31">
        <f t="shared" si="0"/>
        <v>3.5421851110444269E-2</v>
      </c>
      <c r="F31">
        <f t="shared" si="1"/>
        <v>2.6768254587132168E-2</v>
      </c>
      <c r="G31">
        <f t="shared" si="2"/>
        <v>0</v>
      </c>
    </row>
    <row r="32" spans="4:7" x14ac:dyDescent="0.25">
      <c r="D32" s="2">
        <v>122.6</v>
      </c>
      <c r="E32">
        <f t="shared" si="0"/>
        <v>4.2203774330027644E-2</v>
      </c>
      <c r="F32">
        <f t="shared" si="1"/>
        <v>3.6911341633427908E-2</v>
      </c>
      <c r="G32">
        <f t="shared" si="2"/>
        <v>0</v>
      </c>
    </row>
    <row r="33" spans="4:7" x14ac:dyDescent="0.25">
      <c r="D33">
        <v>122.69</v>
      </c>
      <c r="E33">
        <f t="shared" si="0"/>
        <v>4.9172062046971443E-2</v>
      </c>
      <c r="F33">
        <f t="shared" si="1"/>
        <v>4.854385866627664E-2</v>
      </c>
      <c r="G33">
        <f t="shared" si="2"/>
        <v>3.3659274105701797E-6</v>
      </c>
    </row>
    <row r="34" spans="4:7" x14ac:dyDescent="0.25">
      <c r="D34" s="2">
        <v>122.7</v>
      </c>
      <c r="E34">
        <f t="shared" si="0"/>
        <v>5.0000000000000044E-2</v>
      </c>
      <c r="F34">
        <f t="shared" si="1"/>
        <v>5.0000000000000044E-2</v>
      </c>
      <c r="G34">
        <f t="shared" si="2"/>
        <v>5.0000000000000044E-2</v>
      </c>
    </row>
    <row r="35" spans="4:7" x14ac:dyDescent="0.25">
      <c r="D35">
        <v>122.8</v>
      </c>
      <c r="E35">
        <f t="shared" si="0"/>
        <v>5.8903920377168184E-2</v>
      </c>
      <c r="F35">
        <f t="shared" si="1"/>
        <v>6.6549008422224554E-2</v>
      </c>
      <c r="G35">
        <f t="shared" si="2"/>
        <v>1</v>
      </c>
    </row>
    <row r="36" spans="4:7" x14ac:dyDescent="0.25">
      <c r="D36" s="2">
        <v>122.9</v>
      </c>
      <c r="E36">
        <f t="shared" si="0"/>
        <v>6.9006760181640869E-2</v>
      </c>
      <c r="F36">
        <f t="shared" si="1"/>
        <v>8.7051219211324415E-2</v>
      </c>
      <c r="G36">
        <f t="shared" si="2"/>
        <v>1</v>
      </c>
    </row>
    <row r="37" spans="4:7" x14ac:dyDescent="0.25">
      <c r="D37">
        <v>123</v>
      </c>
      <c r="E37">
        <f t="shared" si="0"/>
        <v>8.0395377468443718E-2</v>
      </c>
      <c r="F37">
        <f t="shared" si="1"/>
        <v>0.11193872022172824</v>
      </c>
      <c r="G37">
        <f t="shared" si="2"/>
        <v>1</v>
      </c>
    </row>
    <row r="38" spans="4:7" x14ac:dyDescent="0.25">
      <c r="D38" s="2">
        <v>123.1</v>
      </c>
      <c r="E38">
        <f t="shared" ref="E38:E69" si="3">1-NORMSDIST($B$8-(D38-$B$6)*SQRT($B$10)/$B$5)</f>
        <v>9.3149889980403522E-2</v>
      </c>
      <c r="F38">
        <f t="shared" ref="F38:F69" si="4">1-NORMSDIST($B$8-(D38-$B$6)*SQRT($B$11)/$B$5)</f>
        <v>0.14154022385658827</v>
      </c>
      <c r="G38">
        <f t="shared" ref="G38:G69" si="5">1-NORMSDIST($B$8-(D38-$B$6)*SQRT($B$12)/$B$5)</f>
        <v>1</v>
      </c>
    </row>
    <row r="39" spans="4:7" x14ac:dyDescent="0.25">
      <c r="D39">
        <v>123.2</v>
      </c>
      <c r="E39">
        <f t="shared" si="3"/>
        <v>0.10734118612231658</v>
      </c>
      <c r="F39">
        <f t="shared" si="4"/>
        <v>0.17603855953027514</v>
      </c>
      <c r="G39">
        <f t="shared" si="5"/>
        <v>1</v>
      </c>
    </row>
    <row r="40" spans="4:7" x14ac:dyDescent="0.25">
      <c r="D40" s="2">
        <v>123.3</v>
      </c>
      <c r="E40">
        <f t="shared" si="3"/>
        <v>0.12302839196272353</v>
      </c>
      <c r="F40">
        <f t="shared" si="4"/>
        <v>0.2154329522673617</v>
      </c>
      <c r="G40">
        <f t="shared" si="5"/>
        <v>1</v>
      </c>
    </row>
    <row r="41" spans="4:7" x14ac:dyDescent="0.25">
      <c r="D41">
        <v>123.4</v>
      </c>
      <c r="E41">
        <f t="shared" si="3"/>
        <v>0.14025637601445395</v>
      </c>
      <c r="F41">
        <f t="shared" si="4"/>
        <v>0.25951102284144534</v>
      </c>
      <c r="G41">
        <f t="shared" si="5"/>
        <v>1</v>
      </c>
    </row>
    <row r="42" spans="4:7" x14ac:dyDescent="0.25">
      <c r="D42" s="2">
        <v>123.5</v>
      </c>
      <c r="E42">
        <f t="shared" si="3"/>
        <v>0.15905338117247836</v>
      </c>
      <c r="F42">
        <f t="shared" si="4"/>
        <v>0.30783499707941298</v>
      </c>
      <c r="G42">
        <f t="shared" si="5"/>
        <v>1</v>
      </c>
    </row>
    <row r="43" spans="4:7" x14ac:dyDescent="0.25">
      <c r="D43">
        <v>123.6</v>
      </c>
      <c r="E43">
        <f t="shared" si="3"/>
        <v>0.1794288773767222</v>
      </c>
      <c r="F43">
        <f t="shared" si="4"/>
        <v>0.3597454260406987</v>
      </c>
      <c r="G43">
        <f t="shared" si="5"/>
        <v>1</v>
      </c>
    </row>
    <row r="44" spans="4:7" x14ac:dyDescent="0.25">
      <c r="D44" s="2">
        <v>123.7</v>
      </c>
      <c r="E44">
        <f t="shared" si="3"/>
        <v>0.20137172872924092</v>
      </c>
      <c r="F44">
        <f t="shared" si="4"/>
        <v>0.41438389216087357</v>
      </c>
      <c r="G44">
        <f t="shared" si="5"/>
        <v>1</v>
      </c>
    </row>
    <row r="45" spans="4:7" x14ac:dyDescent="0.25">
      <c r="D45">
        <v>123.8</v>
      </c>
      <c r="E45">
        <f t="shared" si="3"/>
        <v>0.22484876452740776</v>
      </c>
      <c r="F45">
        <f t="shared" si="4"/>
        <v>0.47073393999022106</v>
      </c>
      <c r="G45">
        <f t="shared" si="5"/>
        <v>1</v>
      </c>
    </row>
    <row r="46" spans="4:7" x14ac:dyDescent="0.25">
      <c r="D46" s="2">
        <v>123.9</v>
      </c>
      <c r="E46">
        <f t="shared" si="3"/>
        <v>0.24980383480638502</v>
      </c>
      <c r="F46">
        <f t="shared" si="4"/>
        <v>0.52767715572957352</v>
      </c>
      <c r="G46">
        <f t="shared" si="5"/>
        <v>1</v>
      </c>
    </row>
    <row r="47" spans="4:7" x14ac:dyDescent="0.25">
      <c r="D47">
        <v>124</v>
      </c>
      <c r="E47">
        <f t="shared" si="3"/>
        <v>0.27615741760818002</v>
      </c>
      <c r="F47">
        <f t="shared" si="4"/>
        <v>0.58405930149028729</v>
      </c>
      <c r="G47">
        <f t="shared" si="5"/>
        <v>1</v>
      </c>
    </row>
    <row r="48" spans="4:7" x14ac:dyDescent="0.25">
      <c r="D48" s="2">
        <v>124.1</v>
      </c>
      <c r="E48">
        <f t="shared" si="3"/>
        <v>0.30380682768451039</v>
      </c>
      <c r="F48">
        <f t="shared" si="4"/>
        <v>0.6387600313123305</v>
      </c>
      <c r="G48">
        <f t="shared" si="5"/>
        <v>1</v>
      </c>
    </row>
    <row r="49" spans="4:7" x14ac:dyDescent="0.25">
      <c r="D49">
        <v>124.2</v>
      </c>
      <c r="E49">
        <f t="shared" si="3"/>
        <v>0.33262705534518444</v>
      </c>
      <c r="F49">
        <f t="shared" si="4"/>
        <v>0.690759217970909</v>
      </c>
      <c r="G49">
        <f t="shared" si="5"/>
        <v>1</v>
      </c>
    </row>
    <row r="50" spans="4:7" x14ac:dyDescent="0.25">
      <c r="D50" s="2">
        <v>124.3</v>
      </c>
      <c r="E50">
        <f t="shared" si="3"/>
        <v>0.362472240584919</v>
      </c>
      <c r="F50">
        <f t="shared" si="4"/>
        <v>0.73919339092175684</v>
      </c>
      <c r="G50">
        <f t="shared" si="5"/>
        <v>1</v>
      </c>
    </row>
    <row r="51" spans="4:7" x14ac:dyDescent="0.25">
      <c r="D51">
        <v>124.4</v>
      </c>
      <c r="E51">
        <f t="shared" si="3"/>
        <v>0.39317776256854919</v>
      </c>
      <c r="F51">
        <f t="shared" si="4"/>
        <v>0.78339714266765814</v>
      </c>
      <c r="G51">
        <f t="shared" si="5"/>
        <v>1</v>
      </c>
    </row>
    <row r="52" spans="4:7" x14ac:dyDescent="0.25">
      <c r="D52" s="2">
        <v>124.5</v>
      </c>
      <c r="E52">
        <f t="shared" si="3"/>
        <v>0.42456289928284541</v>
      </c>
      <c r="F52">
        <f t="shared" si="4"/>
        <v>0.8229263655735275</v>
      </c>
      <c r="G52">
        <f t="shared" si="5"/>
        <v>1</v>
      </c>
    </row>
    <row r="53" spans="4:7" x14ac:dyDescent="0.25">
      <c r="D53">
        <v>124.6</v>
      </c>
      <c r="E53">
        <f t="shared" si="3"/>
        <v>0.45643398799882706</v>
      </c>
      <c r="F53">
        <f t="shared" si="4"/>
        <v>0.85756249242099702</v>
      </c>
      <c r="G53">
        <f t="shared" si="5"/>
        <v>1</v>
      </c>
    </row>
    <row r="54" spans="4:7" x14ac:dyDescent="0.25">
      <c r="D54" s="2">
        <v>124.7</v>
      </c>
      <c r="E54">
        <f t="shared" si="3"/>
        <v>0.48858799544211373</v>
      </c>
      <c r="F54">
        <f t="shared" si="4"/>
        <v>0.88729915749137223</v>
      </c>
      <c r="G54">
        <f t="shared" si="5"/>
        <v>1</v>
      </c>
    </row>
    <row r="55" spans="4:7" x14ac:dyDescent="0.25">
      <c r="D55">
        <v>124.8</v>
      </c>
      <c r="E55">
        <f t="shared" si="3"/>
        <v>0.52081638845185596</v>
      </c>
      <c r="F55">
        <f t="shared" si="4"/>
        <v>0.91231453675029517</v>
      </c>
      <c r="G55">
        <f t="shared" si="5"/>
        <v>1</v>
      </c>
    </row>
    <row r="56" spans="4:7" x14ac:dyDescent="0.25">
      <c r="D56" s="2">
        <v>124.9</v>
      </c>
      <c r="E56">
        <f t="shared" si="3"/>
        <v>0.55290918244825449</v>
      </c>
      <c r="F56">
        <f t="shared" si="4"/>
        <v>0.93293383150895726</v>
      </c>
      <c r="G56">
        <f t="shared" si="5"/>
        <v>1</v>
      </c>
    </row>
    <row r="57" spans="4:7" x14ac:dyDescent="0.25">
      <c r="D57">
        <v>125</v>
      </c>
      <c r="E57">
        <f t="shared" si="3"/>
        <v>0.58465903699807042</v>
      </c>
      <c r="F57">
        <f t="shared" si="4"/>
        <v>0.94958682842612441</v>
      </c>
      <c r="G57">
        <f t="shared" si="5"/>
        <v>1</v>
      </c>
    </row>
    <row r="58" spans="4:7" x14ac:dyDescent="0.25">
      <c r="D58" s="2">
        <v>125.1</v>
      </c>
      <c r="E58">
        <f t="shared" si="3"/>
        <v>0.61586526563277422</v>
      </c>
      <c r="F58">
        <f t="shared" si="4"/>
        <v>0.96276523399459613</v>
      </c>
      <c r="G58">
        <f t="shared" si="5"/>
        <v>1</v>
      </c>
    </row>
    <row r="59" spans="4:7" x14ac:dyDescent="0.25">
      <c r="D59">
        <v>125.2</v>
      </c>
      <c r="E59">
        <f t="shared" si="3"/>
        <v>0.6463376309583142</v>
      </c>
      <c r="F59">
        <f t="shared" si="4"/>
        <v>0.97298368817037006</v>
      </c>
      <c r="G59">
        <f t="shared" si="5"/>
        <v>1</v>
      </c>
    </row>
    <row r="60" spans="4:7" x14ac:dyDescent="0.25">
      <c r="D60" s="2">
        <v>125.3</v>
      </c>
      <c r="E60">
        <f t="shared" si="3"/>
        <v>0.67589980577402453</v>
      </c>
      <c r="F60">
        <f t="shared" si="4"/>
        <v>0.98074722097015599</v>
      </c>
      <c r="G60">
        <f t="shared" si="5"/>
        <v>1</v>
      </c>
    </row>
    <row r="61" spans="4:7" x14ac:dyDescent="0.25">
      <c r="D61">
        <v>125.4</v>
      </c>
      <c r="E61">
        <f t="shared" si="3"/>
        <v>0.7043923958307019</v>
      </c>
      <c r="F61">
        <f t="shared" si="4"/>
        <v>0.98652665661261152</v>
      </c>
      <c r="G61">
        <f t="shared" si="5"/>
        <v>1</v>
      </c>
    </row>
    <row r="62" spans="4:7" x14ac:dyDescent="0.25">
      <c r="D62" s="2">
        <v>125.5</v>
      </c>
      <c r="E62">
        <f t="shared" si="3"/>
        <v>0.73167543915015898</v>
      </c>
      <c r="F62">
        <f t="shared" si="4"/>
        <v>0.99074229462650454</v>
      </c>
      <c r="G62">
        <f t="shared" si="5"/>
        <v>1</v>
      </c>
    </row>
    <row r="63" spans="4:7" x14ac:dyDescent="0.25">
      <c r="D63">
        <v>125.6</v>
      </c>
      <c r="E63">
        <f t="shared" si="3"/>
        <v>0.7576303194122227</v>
      </c>
      <c r="F63">
        <f t="shared" si="4"/>
        <v>0.99375525224530714</v>
      </c>
      <c r="G63">
        <f t="shared" si="5"/>
        <v>1</v>
      </c>
    </row>
    <row r="64" spans="4:7" x14ac:dyDescent="0.25">
      <c r="D64" s="2">
        <v>125.7</v>
      </c>
      <c r="E64">
        <f t="shared" si="3"/>
        <v>0.78216105554049176</v>
      </c>
      <c r="F64">
        <f t="shared" si="4"/>
        <v>0.9958652138574583</v>
      </c>
      <c r="G64">
        <f t="shared" si="5"/>
        <v>1</v>
      </c>
    </row>
    <row r="65" spans="4:7" x14ac:dyDescent="0.25">
      <c r="D65">
        <v>125.8</v>
      </c>
      <c r="E65">
        <f t="shared" si="3"/>
        <v>0.80519495496153781</v>
      </c>
      <c r="F65">
        <f t="shared" si="4"/>
        <v>0.99731301159874275</v>
      </c>
      <c r="G65">
        <f t="shared" si="5"/>
        <v>1</v>
      </c>
    </row>
    <row r="66" spans="4:7" x14ac:dyDescent="0.25">
      <c r="D66" s="2">
        <v>125.9</v>
      </c>
      <c r="E66">
        <f t="shared" si="3"/>
        <v>0.82668264275943382</v>
      </c>
      <c r="F66">
        <f t="shared" si="4"/>
        <v>0.9982864153905151</v>
      </c>
      <c r="G66">
        <f t="shared" si="5"/>
        <v>1</v>
      </c>
    </row>
    <row r="67" spans="4:7" x14ac:dyDescent="0.25">
      <c r="D67">
        <v>126</v>
      </c>
      <c r="E67">
        <f t="shared" si="3"/>
        <v>0.84659750187847571</v>
      </c>
      <c r="F67">
        <f t="shared" si="4"/>
        <v>0.99892766920073117</v>
      </c>
      <c r="G67">
        <f t="shared" si="5"/>
        <v>1</v>
      </c>
    </row>
    <row r="68" spans="4:7" x14ac:dyDescent="0.25">
      <c r="D68" s="2">
        <v>126.1</v>
      </c>
      <c r="E68">
        <f t="shared" si="3"/>
        <v>0.86493457958762632</v>
      </c>
      <c r="F68">
        <f t="shared" si="4"/>
        <v>0.99934159134103362</v>
      </c>
      <c r="G68">
        <f t="shared" si="5"/>
        <v>1</v>
      </c>
    </row>
    <row r="69" spans="4:7" x14ac:dyDescent="0.25">
      <c r="D69">
        <v>126.2</v>
      </c>
      <c r="E69">
        <f t="shared" si="3"/>
        <v>0.88170903177834692</v>
      </c>
      <c r="F69">
        <f t="shared" si="4"/>
        <v>0.99960338499547374</v>
      </c>
      <c r="G69">
        <f t="shared" si="5"/>
        <v>1</v>
      </c>
    </row>
    <row r="70" spans="4:7" x14ac:dyDescent="0.25">
      <c r="D70" s="2">
        <v>126.3</v>
      </c>
      <c r="E70">
        <f t="shared" ref="E70:E101" si="6">1-NORMSDIST($B$8-(D70-$B$6)*SQRT($B$10)/$B$5)</f>
        <v>0.89695418875349198</v>
      </c>
      <c r="F70">
        <f t="shared" ref="F70:F106" si="7">1-NORMSDIST($B$8-(D70-$B$6)*SQRT($B$11)/$B$5)</f>
        <v>0.99976562252348455</v>
      </c>
      <c r="G70">
        <f t="shared" ref="G70:G106" si="8">1-NORMSDIST($B$8-(D70-$B$6)*SQRT($B$12)/$B$5)</f>
        <v>1</v>
      </c>
    </row>
    <row r="71" spans="4:7" x14ac:dyDescent="0.25">
      <c r="D71">
        <v>126.4</v>
      </c>
      <c r="E71">
        <f t="shared" si="6"/>
        <v>0.91071933368760338</v>
      </c>
      <c r="F71">
        <f t="shared" si="7"/>
        <v>0.99986413591190648</v>
      </c>
      <c r="G71">
        <f t="shared" si="8"/>
        <v>1</v>
      </c>
    </row>
    <row r="72" spans="4:7" x14ac:dyDescent="0.25">
      <c r="D72" s="2">
        <v>126.5</v>
      </c>
      <c r="E72">
        <f t="shared" si="6"/>
        <v>0.92306728788471537</v>
      </c>
      <c r="F72">
        <f t="shared" si="7"/>
        <v>0.99992274850163965</v>
      </c>
      <c r="G72">
        <f t="shared" si="8"/>
        <v>1</v>
      </c>
    </row>
    <row r="73" spans="4:7" x14ac:dyDescent="0.25">
      <c r="D73">
        <v>126.6</v>
      </c>
      <c r="E73">
        <f t="shared" si="6"/>
        <v>0.93407189557147619</v>
      </c>
      <c r="F73">
        <f t="shared" si="7"/>
        <v>0.99995691797343156</v>
      </c>
      <c r="G73">
        <f t="shared" si="8"/>
        <v>1</v>
      </c>
    </row>
    <row r="74" spans="4:7" x14ac:dyDescent="0.25">
      <c r="D74" s="2">
        <v>126.7</v>
      </c>
      <c r="E74">
        <f t="shared" si="6"/>
        <v>0.94381549570260725</v>
      </c>
      <c r="F74">
        <f t="shared" si="7"/>
        <v>0.9999764360629243</v>
      </c>
      <c r="G74">
        <f t="shared" si="8"/>
        <v>1</v>
      </c>
    </row>
    <row r="75" spans="4:7" x14ac:dyDescent="0.25">
      <c r="D75">
        <v>126.8</v>
      </c>
      <c r="E75">
        <f t="shared" si="6"/>
        <v>0.95238645975604708</v>
      </c>
      <c r="F75">
        <f t="shared" si="7"/>
        <v>0.99998736022192791</v>
      </c>
      <c r="G75">
        <f t="shared" si="8"/>
        <v>1</v>
      </c>
    </row>
    <row r="76" spans="4:7" x14ac:dyDescent="0.25">
      <c r="D76" s="2">
        <v>126.9</v>
      </c>
      <c r="E76">
        <f t="shared" si="6"/>
        <v>0.95987686350519175</v>
      </c>
      <c r="F76">
        <f t="shared" si="7"/>
        <v>0.9999933510984903</v>
      </c>
      <c r="G76">
        <f t="shared" si="8"/>
        <v>1</v>
      </c>
    </row>
    <row r="77" spans="4:7" x14ac:dyDescent="0.25">
      <c r="D77">
        <v>127</v>
      </c>
      <c r="E77">
        <f t="shared" si="6"/>
        <v>0.96638034808251072</v>
      </c>
      <c r="F77">
        <f t="shared" si="7"/>
        <v>0.99999657027183309</v>
      </c>
      <c r="G77">
        <f t="shared" si="8"/>
        <v>1</v>
      </c>
    </row>
    <row r="78" spans="4:7" x14ac:dyDescent="0.25">
      <c r="D78" s="2">
        <v>127.1</v>
      </c>
      <c r="E78">
        <f t="shared" si="6"/>
        <v>0.97199021210219638</v>
      </c>
      <c r="F78">
        <f t="shared" si="7"/>
        <v>0.99999826519481527</v>
      </c>
      <c r="G78">
        <f t="shared" si="8"/>
        <v>1</v>
      </c>
    </row>
    <row r="79" spans="4:7" x14ac:dyDescent="0.25">
      <c r="D79">
        <v>127.2</v>
      </c>
      <c r="E79">
        <f t="shared" si="6"/>
        <v>0.97679776295185339</v>
      </c>
      <c r="F79">
        <f t="shared" si="7"/>
        <v>0.99999913958881637</v>
      </c>
      <c r="G79">
        <f t="shared" si="8"/>
        <v>1</v>
      </c>
    </row>
    <row r="80" spans="4:7" x14ac:dyDescent="0.25">
      <c r="D80" s="2">
        <v>127.3</v>
      </c>
      <c r="E80">
        <f t="shared" si="6"/>
        <v>0.98089094226994922</v>
      </c>
      <c r="F80">
        <f t="shared" si="7"/>
        <v>0.99999958158238078</v>
      </c>
      <c r="G80">
        <f t="shared" si="8"/>
        <v>1</v>
      </c>
    </row>
    <row r="81" spans="4:7" x14ac:dyDescent="0.25">
      <c r="D81">
        <v>127.4</v>
      </c>
      <c r="E81">
        <f t="shared" si="6"/>
        <v>0.98435322865456232</v>
      </c>
      <c r="F81">
        <f t="shared" si="7"/>
        <v>0.99999980049776249</v>
      </c>
      <c r="G81">
        <f t="shared" si="8"/>
        <v>1</v>
      </c>
    </row>
    <row r="82" spans="4:7" x14ac:dyDescent="0.25">
      <c r="D82" s="2">
        <v>127.5</v>
      </c>
      <c r="E82">
        <f t="shared" si="6"/>
        <v>0.98726281022228424</v>
      </c>
      <c r="F82">
        <f t="shared" si="7"/>
        <v>0.9999999067377825</v>
      </c>
      <c r="G82">
        <f t="shared" si="8"/>
        <v>1</v>
      </c>
    </row>
    <row r="83" spans="4:7" x14ac:dyDescent="0.25">
      <c r="D83">
        <v>127.6</v>
      </c>
      <c r="E83">
        <f t="shared" si="6"/>
        <v>0.98969201103405224</v>
      </c>
      <c r="F83">
        <f t="shared" si="7"/>
        <v>0.99999995725640778</v>
      </c>
      <c r="G83">
        <f t="shared" si="8"/>
        <v>1</v>
      </c>
    </row>
    <row r="84" spans="4:7" x14ac:dyDescent="0.25">
      <c r="D84" s="2">
        <v>127.7</v>
      </c>
      <c r="E84">
        <f t="shared" si="6"/>
        <v>0.99170694876830023</v>
      </c>
      <c r="F84">
        <f t="shared" si="7"/>
        <v>0.99999998079423624</v>
      </c>
      <c r="G84">
        <f t="shared" si="8"/>
        <v>1</v>
      </c>
    </row>
    <row r="85" spans="4:7" x14ac:dyDescent="0.25">
      <c r="D85">
        <v>127.8</v>
      </c>
      <c r="E85">
        <f t="shared" si="6"/>
        <v>0.99336739636572302</v>
      </c>
      <c r="F85">
        <f t="shared" si="7"/>
        <v>0.99999999153988739</v>
      </c>
      <c r="G85">
        <f t="shared" si="8"/>
        <v>1</v>
      </c>
    </row>
    <row r="86" spans="4:7" x14ac:dyDescent="0.25">
      <c r="D86" s="2">
        <v>127.9</v>
      </c>
      <c r="E86">
        <f t="shared" si="6"/>
        <v>0.99472681760039372</v>
      </c>
      <c r="F86">
        <f t="shared" si="7"/>
        <v>0.99999999634662617</v>
      </c>
      <c r="G86">
        <f t="shared" si="8"/>
        <v>1</v>
      </c>
    </row>
    <row r="87" spans="4:7" x14ac:dyDescent="0.25">
      <c r="D87">
        <v>128</v>
      </c>
      <c r="E87">
        <f t="shared" si="6"/>
        <v>0.99583254546989686</v>
      </c>
      <c r="F87">
        <f t="shared" si="7"/>
        <v>0.9999999984534087</v>
      </c>
      <c r="G87">
        <f t="shared" si="8"/>
        <v>1</v>
      </c>
    </row>
    <row r="88" spans="4:7" x14ac:dyDescent="0.25">
      <c r="D88" s="2">
        <v>128.1</v>
      </c>
      <c r="E88">
        <f t="shared" si="6"/>
        <v>0.99672607270267155</v>
      </c>
      <c r="F88">
        <f t="shared" si="7"/>
        <v>0.99999999935818318</v>
      </c>
      <c r="G88">
        <f t="shared" si="8"/>
        <v>1</v>
      </c>
    </row>
    <row r="89" spans="4:7" x14ac:dyDescent="0.25">
      <c r="D89">
        <v>128.19999999999999</v>
      </c>
      <c r="E89">
        <f t="shared" si="6"/>
        <v>0.99744342527758056</v>
      </c>
      <c r="F89">
        <f t="shared" si="7"/>
        <v>0.99999999973890896</v>
      </c>
      <c r="G89">
        <f t="shared" si="8"/>
        <v>1</v>
      </c>
    </row>
    <row r="90" spans="4:7" x14ac:dyDescent="0.25">
      <c r="D90" s="2">
        <v>128.30000000000001</v>
      </c>
      <c r="E90">
        <f t="shared" si="6"/>
        <v>0.99801559234884785</v>
      </c>
      <c r="F90">
        <f t="shared" si="7"/>
        <v>0.99999999989588584</v>
      </c>
      <c r="G90">
        <f t="shared" si="8"/>
        <v>1</v>
      </c>
    </row>
    <row r="91" spans="4:7" x14ac:dyDescent="0.25">
      <c r="D91">
        <v>128.4</v>
      </c>
      <c r="E91">
        <f t="shared" si="6"/>
        <v>0.99846898908454595</v>
      </c>
      <c r="F91">
        <f t="shared" si="7"/>
        <v>0.99999999995930355</v>
      </c>
      <c r="G91">
        <f t="shared" si="8"/>
        <v>1</v>
      </c>
    </row>
    <row r="92" spans="4:7" x14ac:dyDescent="0.25">
      <c r="D92" s="2">
        <v>128.5</v>
      </c>
      <c r="E92">
        <f t="shared" si="6"/>
        <v>0.99882593239563189</v>
      </c>
      <c r="F92">
        <f t="shared" si="7"/>
        <v>0.99999999998440714</v>
      </c>
      <c r="G92">
        <f t="shared" si="8"/>
        <v>1</v>
      </c>
    </row>
    <row r="93" spans="4:7" x14ac:dyDescent="0.25">
      <c r="D93">
        <v>128.6</v>
      </c>
      <c r="E93">
        <f t="shared" si="6"/>
        <v>0.99910511312443029</v>
      </c>
      <c r="F93">
        <f t="shared" si="7"/>
        <v>0.99999999999414391</v>
      </c>
      <c r="G93">
        <f t="shared" si="8"/>
        <v>1</v>
      </c>
    </row>
    <row r="94" spans="4:7" x14ac:dyDescent="0.25">
      <c r="D94" s="2">
        <v>128.69999999999999</v>
      </c>
      <c r="E94">
        <f t="shared" si="6"/>
        <v>0.99932205178524391</v>
      </c>
      <c r="F94">
        <f t="shared" si="7"/>
        <v>0.99999999999784428</v>
      </c>
      <c r="G94">
        <f t="shared" si="8"/>
        <v>1</v>
      </c>
    </row>
    <row r="95" spans="4:7" x14ac:dyDescent="0.25">
      <c r="D95">
        <v>128.80000000000001</v>
      </c>
      <c r="E95">
        <f t="shared" si="6"/>
        <v>0.99948952825677762</v>
      </c>
      <c r="F95">
        <f t="shared" si="7"/>
        <v>0.99999999999922218</v>
      </c>
      <c r="G95">
        <f t="shared" si="8"/>
        <v>1</v>
      </c>
    </row>
    <row r="96" spans="4:7" x14ac:dyDescent="0.25">
      <c r="D96" s="2">
        <v>128.9</v>
      </c>
      <c r="E96">
        <f t="shared" si="6"/>
        <v>0.99961797880997305</v>
      </c>
      <c r="F96">
        <f t="shared" si="7"/>
        <v>0.99999999999972489</v>
      </c>
      <c r="G96">
        <f t="shared" si="8"/>
        <v>1</v>
      </c>
    </row>
    <row r="97" spans="4:7" x14ac:dyDescent="0.25">
      <c r="D97">
        <v>129</v>
      </c>
      <c r="E97">
        <f t="shared" si="6"/>
        <v>0.99971585644886596</v>
      </c>
      <c r="F97">
        <f t="shared" si="7"/>
        <v>0.99999999999990463</v>
      </c>
      <c r="G97">
        <f t="shared" si="8"/>
        <v>1</v>
      </c>
    </row>
    <row r="98" spans="4:7" x14ac:dyDescent="0.25">
      <c r="D98" s="2">
        <v>129.1</v>
      </c>
      <c r="E98">
        <f t="shared" si="6"/>
        <v>0.99978995271407756</v>
      </c>
      <c r="F98">
        <f t="shared" si="7"/>
        <v>0.99999999999996758</v>
      </c>
      <c r="G98">
        <f t="shared" si="8"/>
        <v>1</v>
      </c>
    </row>
    <row r="99" spans="4:7" x14ac:dyDescent="0.25">
      <c r="D99">
        <v>129.19999999999999</v>
      </c>
      <c r="E99">
        <f t="shared" si="6"/>
        <v>0.99984568084535153</v>
      </c>
      <c r="F99">
        <f t="shared" si="7"/>
        <v>0.99999999999998923</v>
      </c>
      <c r="G99">
        <f t="shared" si="8"/>
        <v>1</v>
      </c>
    </row>
    <row r="100" spans="4:7" x14ac:dyDescent="0.25">
      <c r="D100" s="2">
        <v>129.30000000000001</v>
      </c>
      <c r="E100">
        <f t="shared" si="6"/>
        <v>0.99988732154041415</v>
      </c>
      <c r="F100">
        <f t="shared" si="7"/>
        <v>0.99999999999999645</v>
      </c>
      <c r="G100">
        <f t="shared" si="8"/>
        <v>1</v>
      </c>
    </row>
    <row r="101" spans="4:7" x14ac:dyDescent="0.25">
      <c r="D101">
        <v>129.4</v>
      </c>
      <c r="E101">
        <f t="shared" si="6"/>
        <v>0.99991823351784814</v>
      </c>
      <c r="F101">
        <f t="shared" si="7"/>
        <v>0.99999999999999889</v>
      </c>
      <c r="G101">
        <f t="shared" si="8"/>
        <v>1</v>
      </c>
    </row>
    <row r="102" spans="4:7" x14ac:dyDescent="0.25">
      <c r="D102" s="2">
        <v>129.5</v>
      </c>
      <c r="E102">
        <f>1-NORMSDIST($B$8-(D102-$B$6)*SQRT($B$10)/$B$5)</f>
        <v>0.99994103173744897</v>
      </c>
      <c r="F102">
        <f t="shared" si="7"/>
        <v>0.99999999999999967</v>
      </c>
      <c r="G102">
        <f t="shared" si="8"/>
        <v>1</v>
      </c>
    </row>
    <row r="103" spans="4:7" x14ac:dyDescent="0.25">
      <c r="D103">
        <v>129.6</v>
      </c>
      <c r="E103">
        <f>1-NORMSDIST($B$8-(D103-$B$6)*SQRT($B$10)/$B$5)</f>
        <v>0.99995773650376296</v>
      </c>
      <c r="F103">
        <f t="shared" si="7"/>
        <v>0.99999999999999989</v>
      </c>
      <c r="G103">
        <f t="shared" si="8"/>
        <v>1</v>
      </c>
    </row>
    <row r="104" spans="4:7" x14ac:dyDescent="0.25">
      <c r="D104" s="2">
        <v>129.69999999999999</v>
      </c>
      <c r="E104">
        <f>1-NORMSDIST($B$8-(D104-$B$6)*SQRT($B$10)/$B$5)</f>
        <v>0.99996989682935422</v>
      </c>
      <c r="F104">
        <f t="shared" si="7"/>
        <v>1</v>
      </c>
      <c r="G104">
        <f t="shared" si="8"/>
        <v>1</v>
      </c>
    </row>
    <row r="105" spans="4:7" x14ac:dyDescent="0.25">
      <c r="D105">
        <v>129.80000000000001</v>
      </c>
      <c r="E105">
        <f>1-NORMSDIST($B$8-(D105-$B$6)*SQRT($B$10)/$B$5)</f>
        <v>0.99997869141390128</v>
      </c>
      <c r="F105">
        <f t="shared" si="7"/>
        <v>1</v>
      </c>
      <c r="G105">
        <f t="shared" si="8"/>
        <v>1</v>
      </c>
    </row>
    <row r="106" spans="4:7" x14ac:dyDescent="0.25">
      <c r="D106" s="2">
        <v>129.9</v>
      </c>
      <c r="E106">
        <f>1-NORMSDIST($B$8-(D106-$B$6)*SQRT($B$10)/$B$5)</f>
        <v>0.99998501044917321</v>
      </c>
      <c r="F106">
        <f t="shared" si="7"/>
        <v>1</v>
      </c>
      <c r="G106">
        <f t="shared" si="8"/>
        <v>1</v>
      </c>
    </row>
  </sheetData>
  <mergeCells count="1">
    <mergeCell ref="A1:B1"/>
  </mergeCells>
  <phoneticPr fontId="0" type="noConversion"/>
  <hyperlinks>
    <hyperlink ref="J1" location="Meny!A1" tooltip="Gå til arket &quot;Meny&quot;" display="Hovedmeny"/>
  </hyperlinks>
  <pageMargins left="0.7" right="0.7" top="0.78740157499999996" bottom="0.78740157499999996" header="0.3" footer="0.3"/>
  <pageSetup paperSize="9" orientation="portrait" horizontalDpi="4294967292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5122" r:id="rId4">
          <objectPr defaultSize="0" autoPict="0" r:id="rId5">
            <anchor moveWithCells="1">
              <from>
                <xdr:col>4</xdr:col>
                <xdr:colOff>523875</xdr:colOff>
                <xdr:row>0</xdr:row>
                <xdr:rowOff>104775</xdr:rowOff>
              </from>
              <to>
                <xdr:col>8</xdr:col>
                <xdr:colOff>323850</xdr:colOff>
                <xdr:row>2</xdr:row>
                <xdr:rowOff>47625</xdr:rowOff>
              </to>
            </anchor>
          </objectPr>
        </oleObject>
      </mc:Choice>
      <mc:Fallback>
        <oleObject progId="Equation.3" shapeId="5122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85" zoomScaleNormal="85" workbookViewId="0"/>
  </sheetViews>
  <sheetFormatPr defaultColWidth="11.42578125" defaultRowHeight="15" x14ac:dyDescent="0.25"/>
  <cols>
    <col min="1" max="1" width="10.85546875" customWidth="1"/>
    <col min="2" max="2" width="10.28515625" customWidth="1"/>
    <col min="3" max="3" width="8.5703125" customWidth="1"/>
    <col min="5" max="5" width="16.7109375" customWidth="1"/>
    <col min="6" max="6" width="10.140625" customWidth="1"/>
    <col min="7" max="7" width="9" customWidth="1"/>
    <col min="9" max="9" width="5.28515625" customWidth="1"/>
    <col min="10" max="10" width="6.7109375" customWidth="1"/>
    <col min="11" max="11" width="9.5703125" customWidth="1"/>
    <col min="12" max="12" width="11.85546875" customWidth="1"/>
    <col min="13" max="13" width="13.5703125" customWidth="1"/>
  </cols>
  <sheetData>
    <row r="1" spans="1:13" x14ac:dyDescent="0.25">
      <c r="A1" s="1" t="s">
        <v>141</v>
      </c>
      <c r="C1" t="s">
        <v>142</v>
      </c>
      <c r="F1" s="115" t="s">
        <v>126</v>
      </c>
    </row>
    <row r="2" spans="1:13" x14ac:dyDescent="0.25">
      <c r="K2" s="15">
        <v>0.9</v>
      </c>
      <c r="L2" s="15">
        <v>0.95</v>
      </c>
      <c r="M2" s="15">
        <v>0.99</v>
      </c>
    </row>
    <row r="3" spans="1:13" x14ac:dyDescent="0.25">
      <c r="C3" s="2">
        <v>125.2</v>
      </c>
      <c r="E3" t="s">
        <v>0</v>
      </c>
      <c r="J3" s="3" t="s">
        <v>1</v>
      </c>
      <c r="K3">
        <v>0.05</v>
      </c>
      <c r="L3">
        <v>2.5000000000000001E-2</v>
      </c>
      <c r="M3">
        <v>5.0000000000000001E-3</v>
      </c>
    </row>
    <row r="4" spans="1:13" ht="16.5" x14ac:dyDescent="0.3">
      <c r="C4" s="2">
        <v>132.30000000000001</v>
      </c>
      <c r="E4" t="s">
        <v>143</v>
      </c>
      <c r="F4" s="4">
        <f>$C$13-$K$4*$C$19/SQRT(8)</f>
        <v>122.83959748106581</v>
      </c>
      <c r="G4" s="4">
        <f>$C$13+$K$4*$C$19/SQRT(8)</f>
        <v>126.91040251893416</v>
      </c>
      <c r="H4" s="15">
        <v>0.9</v>
      </c>
      <c r="J4" t="s">
        <v>2</v>
      </c>
      <c r="K4" s="5">
        <f>-NORMSINV(K3)</f>
        <v>1.6448536269514726</v>
      </c>
      <c r="L4" s="5">
        <f>-NORMSINV(L3)</f>
        <v>1.9599639845400538</v>
      </c>
      <c r="M4" s="5">
        <f>-NORMSINV(M3)</f>
        <v>2.5758293035488999</v>
      </c>
    </row>
    <row r="5" spans="1:13" x14ac:dyDescent="0.25">
      <c r="C5" s="2">
        <v>126</v>
      </c>
      <c r="F5" s="4">
        <f>$C$13-$L$4*$C$19/SQRT(8)</f>
        <v>122.44966830738805</v>
      </c>
      <c r="G5" s="4">
        <f>$C$13+$L$4*$C$19/SQRT(8)</f>
        <v>127.30033169261192</v>
      </c>
      <c r="H5" s="15">
        <v>0.95</v>
      </c>
      <c r="K5" s="5"/>
    </row>
    <row r="6" spans="1:13" ht="18" x14ac:dyDescent="0.35">
      <c r="C6" s="2">
        <v>128.5</v>
      </c>
      <c r="F6" s="4">
        <f>$C$13-$M$4*$C$19/SQRT(8)</f>
        <v>121.6875738564927</v>
      </c>
      <c r="G6" s="4">
        <f>$C$13+$M$4*$C$19/SQRT(8)</f>
        <v>128.06242614350728</v>
      </c>
      <c r="H6" s="15">
        <v>0.99</v>
      </c>
      <c r="J6" t="s">
        <v>3</v>
      </c>
      <c r="K6" s="5"/>
      <c r="L6" s="5"/>
      <c r="M6" s="5"/>
    </row>
    <row r="7" spans="1:13" x14ac:dyDescent="0.25">
      <c r="C7" s="2">
        <v>124.8</v>
      </c>
      <c r="F7" s="2"/>
      <c r="G7" s="2"/>
      <c r="J7">
        <f>ABS($C$13-$D$13)*SQRT($C$16)/$C$19</f>
        <v>1.757665427520833</v>
      </c>
    </row>
    <row r="8" spans="1:13" x14ac:dyDescent="0.25">
      <c r="C8" s="2">
        <v>122.4</v>
      </c>
      <c r="F8" s="2"/>
      <c r="G8" s="2"/>
    </row>
    <row r="9" spans="1:13" x14ac:dyDescent="0.25">
      <c r="C9" s="2">
        <v>118.9</v>
      </c>
      <c r="F9" s="2"/>
      <c r="G9" s="2"/>
    </row>
    <row r="10" spans="1:13" x14ac:dyDescent="0.25">
      <c r="C10" s="2">
        <v>120.9</v>
      </c>
      <c r="F10" s="2"/>
      <c r="G10" s="2"/>
    </row>
    <row r="11" spans="1:13" x14ac:dyDescent="0.25">
      <c r="E11" t="s">
        <v>4</v>
      </c>
      <c r="F11" s="2"/>
      <c r="G11" s="2"/>
    </row>
    <row r="12" spans="1:13" ht="18" x14ac:dyDescent="0.35">
      <c r="C12" s="6" t="s">
        <v>144</v>
      </c>
      <c r="D12" s="6" t="s">
        <v>5</v>
      </c>
      <c r="E12" t="s">
        <v>143</v>
      </c>
      <c r="F12" s="4">
        <f>$C$13-$K$136*$D$19/SQRT(8)</f>
        <v>124.87499999999999</v>
      </c>
      <c r="G12" s="4">
        <f>$C$13+$K$13*$D$19/SQRT(8)</f>
        <v>127.73121021468012</v>
      </c>
      <c r="H12" s="15">
        <v>0.9</v>
      </c>
    </row>
    <row r="13" spans="1:13" ht="18" x14ac:dyDescent="0.35">
      <c r="C13" s="7">
        <f>AVERAGE(C3:C10)</f>
        <v>124.87499999999999</v>
      </c>
      <c r="D13" s="6">
        <v>122.7</v>
      </c>
      <c r="F13" s="4">
        <f>$C$13-$L$13*$D$19/SQRT(8)</f>
        <v>121.31016298392969</v>
      </c>
      <c r="G13" s="4">
        <f>$C$13+$L$13*$D$19/SQRT(8)</f>
        <v>128.43983701607027</v>
      </c>
      <c r="H13" s="15">
        <v>0.95</v>
      </c>
      <c r="J13" s="8" t="s">
        <v>6</v>
      </c>
      <c r="K13" s="5">
        <f>TINV(2*K3,7)</f>
        <v>1.8945786050900073</v>
      </c>
      <c r="L13" s="5">
        <f>TINV(2*L3,7)</f>
        <v>2.3646242515927849</v>
      </c>
      <c r="M13" s="5">
        <f>TINV(2*M3,7)</f>
        <v>3.4994832973504946</v>
      </c>
    </row>
    <row r="14" spans="1:13" x14ac:dyDescent="0.25">
      <c r="F14" s="4">
        <f>$C$13-$M$13*$D$19/SQRT(8)</f>
        <v>119.5992833244598</v>
      </c>
      <c r="G14" s="4">
        <f>$C$13+$M$13*$D$19/SQRT(8)</f>
        <v>130.15071667554017</v>
      </c>
      <c r="H14" s="15">
        <v>0.99</v>
      </c>
    </row>
    <row r="15" spans="1:13" ht="18" x14ac:dyDescent="0.35">
      <c r="C15" s="9" t="s">
        <v>7</v>
      </c>
      <c r="D15" s="6"/>
      <c r="J15" t="s">
        <v>8</v>
      </c>
    </row>
    <row r="16" spans="1:13" x14ac:dyDescent="0.25">
      <c r="C16" s="6">
        <v>8</v>
      </c>
      <c r="D16" s="6"/>
      <c r="J16">
        <f>ABS($C$13-$D$13)*SQRT($C$16)/$D$19</f>
        <v>1.4427189024433218</v>
      </c>
    </row>
    <row r="17" spans="1:11" x14ac:dyDescent="0.25">
      <c r="C17" s="6"/>
      <c r="D17" s="6"/>
    </row>
    <row r="18" spans="1:11" x14ac:dyDescent="0.25">
      <c r="C18" s="10" t="s">
        <v>9</v>
      </c>
      <c r="D18" s="11" t="s">
        <v>9</v>
      </c>
    </row>
    <row r="19" spans="1:11" x14ac:dyDescent="0.25">
      <c r="C19" s="6">
        <v>3.5</v>
      </c>
      <c r="D19" s="6">
        <f>STDEV(C3:C10)</f>
        <v>4.2640523984987402</v>
      </c>
      <c r="J19" t="s">
        <v>145</v>
      </c>
    </row>
    <row r="20" spans="1:11" x14ac:dyDescent="0.25">
      <c r="C20" s="6"/>
      <c r="D20" s="6"/>
      <c r="J20" s="3"/>
      <c r="K20" s="13">
        <f>TDIST(J16,7,2)</f>
        <v>0.19231069208408025</v>
      </c>
    </row>
    <row r="21" spans="1:11" x14ac:dyDescent="0.25">
      <c r="C21" s="6"/>
      <c r="D21" s="6"/>
      <c r="J21" s="3"/>
    </row>
    <row r="22" spans="1:11" x14ac:dyDescent="0.25">
      <c r="J22" t="s">
        <v>146</v>
      </c>
    </row>
    <row r="23" spans="1:11" x14ac:dyDescent="0.25">
      <c r="B23" s="6"/>
      <c r="J23" s="3"/>
      <c r="K23" s="13">
        <f>TDIST(J16,7,1)</f>
        <v>9.6155346042040124E-2</v>
      </c>
    </row>
    <row r="24" spans="1:11" x14ac:dyDescent="0.25">
      <c r="A24" s="12"/>
      <c r="J24" s="3"/>
    </row>
    <row r="25" spans="1:11" x14ac:dyDescent="0.25">
      <c r="J25" s="3"/>
    </row>
    <row r="26" spans="1:11" x14ac:dyDescent="0.25">
      <c r="B26" s="6"/>
    </row>
    <row r="27" spans="1:11" x14ac:dyDescent="0.25">
      <c r="B27" s="7"/>
    </row>
    <row r="32" spans="1:11" x14ac:dyDescent="0.25">
      <c r="B32" s="1"/>
    </row>
    <row r="33" spans="2:4" x14ac:dyDescent="0.25">
      <c r="B33" s="6"/>
    </row>
    <row r="39" spans="2:4" x14ac:dyDescent="0.25">
      <c r="D39" s="13"/>
    </row>
  </sheetData>
  <phoneticPr fontId="0" type="noConversion"/>
  <hyperlinks>
    <hyperlink ref="F1" location="Meny!A1" tooltip="Gå til arket &quot;Meny&quot;" display="Hovedmeny"/>
  </hyperlinks>
  <pageMargins left="0.7" right="0.7" top="0.78740157499999996" bottom="0.78740157499999996" header="0.3" footer="0.3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A32" sqref="A32"/>
    </sheetView>
  </sheetViews>
  <sheetFormatPr defaultColWidth="11.42578125" defaultRowHeight="12.75" x14ac:dyDescent="0.2"/>
  <cols>
    <col min="1" max="1" width="17" style="61" customWidth="1"/>
    <col min="2" max="16384" width="11.42578125" style="61"/>
  </cols>
  <sheetData>
    <row r="1" spans="1:9" ht="15" x14ac:dyDescent="0.25">
      <c r="A1" s="71" t="s">
        <v>147</v>
      </c>
      <c r="F1" s="115" t="s">
        <v>126</v>
      </c>
    </row>
    <row r="2" spans="1:9" ht="15.75" x14ac:dyDescent="0.3">
      <c r="A2" s="61" t="s">
        <v>88</v>
      </c>
    </row>
    <row r="4" spans="1:9" x14ac:dyDescent="0.2">
      <c r="B4" s="61" t="s">
        <v>120</v>
      </c>
      <c r="C4" s="61" t="s">
        <v>121</v>
      </c>
      <c r="E4" s="61" t="s">
        <v>75</v>
      </c>
      <c r="H4" s="61" t="s">
        <v>87</v>
      </c>
    </row>
    <row r="5" spans="1:9" ht="15.75" x14ac:dyDescent="0.3">
      <c r="B5" s="61">
        <v>44.7</v>
      </c>
      <c r="C5" s="61">
        <v>43.5</v>
      </c>
      <c r="E5" s="62" t="s">
        <v>89</v>
      </c>
      <c r="F5" s="70">
        <f>VAR(B5:B10)</f>
        <v>1.3416666666666661</v>
      </c>
      <c r="H5" s="62" t="s">
        <v>90</v>
      </c>
      <c r="I5" s="62" t="s">
        <v>91</v>
      </c>
    </row>
    <row r="6" spans="1:9" ht="15.75" x14ac:dyDescent="0.3">
      <c r="B6" s="61">
        <v>43.6</v>
      </c>
      <c r="C6" s="61">
        <v>41.9</v>
      </c>
      <c r="E6" s="62" t="s">
        <v>92</v>
      </c>
      <c r="F6" s="70">
        <f>VAR(C5:C12)</f>
        <v>1.0141071428571438</v>
      </c>
      <c r="H6" s="61">
        <f>F5/F6</f>
        <v>1.3230028760932071</v>
      </c>
      <c r="I6" s="61">
        <f>FINV(0.025,5,7)</f>
        <v>5.285236851504278</v>
      </c>
    </row>
    <row r="7" spans="1:9" ht="15.75" x14ac:dyDescent="0.3">
      <c r="B7" s="61">
        <v>42.6</v>
      </c>
      <c r="C7" s="61">
        <v>42.1</v>
      </c>
      <c r="H7" s="61" t="s">
        <v>122</v>
      </c>
    </row>
    <row r="8" spans="1:9" x14ac:dyDescent="0.2">
      <c r="B8" s="61">
        <v>45.5</v>
      </c>
      <c r="C8" s="61">
        <v>42.4</v>
      </c>
    </row>
    <row r="9" spans="1:9" ht="15.75" x14ac:dyDescent="0.3">
      <c r="B9" s="61">
        <v>44.8</v>
      </c>
      <c r="C9" s="61">
        <v>43.2</v>
      </c>
      <c r="E9" s="63" t="s">
        <v>93</v>
      </c>
      <c r="F9" s="61">
        <v>0</v>
      </c>
      <c r="H9" s="61" t="s">
        <v>123</v>
      </c>
    </row>
    <row r="10" spans="1:9" x14ac:dyDescent="0.2">
      <c r="B10" s="61">
        <v>42.9</v>
      </c>
      <c r="C10" s="64">
        <v>44</v>
      </c>
      <c r="H10" s="67">
        <f>2*FDIST(H6,B17-1,C17-1)</f>
        <v>0.70913230970270213</v>
      </c>
    </row>
    <row r="11" spans="1:9" ht="15.75" x14ac:dyDescent="0.3">
      <c r="C11" s="61">
        <v>41.9</v>
      </c>
      <c r="E11" s="62" t="s">
        <v>94</v>
      </c>
      <c r="F11" s="65">
        <f>ABS(($B$14-$C$14)-$F$9)/(SQRT($I$12*(1/$B$17+1/$C$17)))</f>
        <v>1.8628795414344077</v>
      </c>
    </row>
    <row r="12" spans="1:9" ht="15.75" x14ac:dyDescent="0.3">
      <c r="C12" s="61">
        <v>44.5</v>
      </c>
      <c r="H12" s="62" t="s">
        <v>95</v>
      </c>
      <c r="I12" s="65">
        <f>((B17-1)*F5+(C17-1)*F6)/(B17+C17-2)</f>
        <v>1.1505902777777781</v>
      </c>
    </row>
    <row r="14" spans="1:9" x14ac:dyDescent="0.2">
      <c r="A14" s="61" t="s">
        <v>149</v>
      </c>
      <c r="B14" s="69">
        <f>AVERAGE(B5:B10)</f>
        <v>44.016666666666659</v>
      </c>
      <c r="C14" s="69">
        <f>AVERAGE(C5:C12)</f>
        <v>42.9375</v>
      </c>
      <c r="E14" s="61" t="s">
        <v>148</v>
      </c>
      <c r="G14" s="61">
        <v>0.05</v>
      </c>
    </row>
    <row r="16" spans="1:9" ht="15.75" x14ac:dyDescent="0.3">
      <c r="B16" s="66" t="s">
        <v>96</v>
      </c>
      <c r="C16" s="66" t="s">
        <v>97</v>
      </c>
      <c r="F16" s="62" t="s">
        <v>98</v>
      </c>
      <c r="G16" s="65">
        <f>TINV($G$14,$B$20)</f>
        <v>2.1788128296672284</v>
      </c>
      <c r="H16" s="65"/>
    </row>
    <row r="17" spans="1:8" x14ac:dyDescent="0.2">
      <c r="B17" s="68">
        <v>6</v>
      </c>
      <c r="C17" s="68">
        <v>8</v>
      </c>
      <c r="G17" s="65"/>
      <c r="H17" s="65"/>
    </row>
    <row r="18" spans="1:8" x14ac:dyDescent="0.2">
      <c r="B18" s="68"/>
      <c r="C18" s="68"/>
      <c r="G18" s="65"/>
      <c r="H18" s="65"/>
    </row>
    <row r="19" spans="1:8" x14ac:dyDescent="0.2">
      <c r="B19" s="66" t="s">
        <v>99</v>
      </c>
      <c r="C19" s="68"/>
      <c r="E19" s="71" t="str">
        <f>IF($F$11&gt;$G$16,"H0 forkastes !","H0 forkastes ikke !")</f>
        <v>H0 forkastes ikke !</v>
      </c>
      <c r="G19" s="65"/>
      <c r="H19" s="65"/>
    </row>
    <row r="20" spans="1:8" x14ac:dyDescent="0.2">
      <c r="B20" s="68">
        <f>B17+C17-2</f>
        <v>12</v>
      </c>
      <c r="C20" s="68"/>
      <c r="G20" s="65"/>
      <c r="H20" s="65"/>
    </row>
    <row r="21" spans="1:8" x14ac:dyDescent="0.2">
      <c r="G21" s="65"/>
      <c r="H21" s="65"/>
    </row>
    <row r="22" spans="1:8" x14ac:dyDescent="0.2">
      <c r="E22" s="61" t="s">
        <v>76</v>
      </c>
      <c r="G22" s="65"/>
      <c r="H22" s="113">
        <f>TDIST($F$11,$B$20,2)</f>
        <v>8.7129913265622153E-2</v>
      </c>
    </row>
    <row r="24" spans="1:8" x14ac:dyDescent="0.2">
      <c r="A24" s="61" t="s">
        <v>138</v>
      </c>
    </row>
    <row r="25" spans="1:8" x14ac:dyDescent="0.2">
      <c r="A25" s="61" t="s">
        <v>150</v>
      </c>
    </row>
    <row r="27" spans="1:8" x14ac:dyDescent="0.2">
      <c r="B27" s="61" t="s">
        <v>26</v>
      </c>
      <c r="C27" s="61" t="s">
        <v>27</v>
      </c>
    </row>
    <row r="28" spans="1:8" x14ac:dyDescent="0.2">
      <c r="A28" s="61" t="s">
        <v>125</v>
      </c>
      <c r="B28" s="61">
        <v>44.016666666666659</v>
      </c>
      <c r="C28" s="61">
        <v>42.9375</v>
      </c>
    </row>
    <row r="29" spans="1:8" x14ac:dyDescent="0.2">
      <c r="A29" s="61" t="s">
        <v>28</v>
      </c>
      <c r="B29" s="61">
        <v>1.3416666666671517</v>
      </c>
      <c r="C29" s="61">
        <v>1.0141071428572883</v>
      </c>
    </row>
    <row r="30" spans="1:8" x14ac:dyDescent="0.2">
      <c r="A30" s="61" t="s">
        <v>127</v>
      </c>
      <c r="B30" s="61">
        <v>6</v>
      </c>
      <c r="C30" s="61">
        <v>8</v>
      </c>
    </row>
    <row r="31" spans="1:8" x14ac:dyDescent="0.2">
      <c r="A31" s="61" t="s">
        <v>74</v>
      </c>
      <c r="B31" s="61">
        <v>1.1505902777780648</v>
      </c>
    </row>
    <row r="32" spans="1:8" x14ac:dyDescent="0.2">
      <c r="A32" s="61" t="s">
        <v>137</v>
      </c>
      <c r="B32" s="61">
        <v>0</v>
      </c>
    </row>
    <row r="33" spans="1:2" x14ac:dyDescent="0.2">
      <c r="A33" s="61" t="s">
        <v>29</v>
      </c>
      <c r="B33" s="61">
        <v>12</v>
      </c>
    </row>
    <row r="34" spans="1:2" x14ac:dyDescent="0.2">
      <c r="A34" s="61" t="s">
        <v>30</v>
      </c>
      <c r="B34" s="61">
        <v>1.8628795414341754</v>
      </c>
    </row>
    <row r="35" spans="1:2" x14ac:dyDescent="0.2">
      <c r="A35" s="61" t="s">
        <v>31</v>
      </c>
      <c r="B35" s="61">
        <v>4.3564956348975836E-2</v>
      </c>
    </row>
    <row r="36" spans="1:2" x14ac:dyDescent="0.2">
      <c r="A36" s="61" t="s">
        <v>32</v>
      </c>
      <c r="B36" s="61">
        <v>1.7822875476056765</v>
      </c>
    </row>
    <row r="37" spans="1:2" x14ac:dyDescent="0.2">
      <c r="A37" s="61" t="s">
        <v>33</v>
      </c>
      <c r="B37" s="61">
        <v>8.7129912697951672E-2</v>
      </c>
    </row>
    <row r="38" spans="1:2" x14ac:dyDescent="0.2">
      <c r="A38" s="61" t="s">
        <v>34</v>
      </c>
      <c r="B38" s="61">
        <v>2.1788128271650695</v>
      </c>
    </row>
  </sheetData>
  <phoneticPr fontId="13" type="noConversion"/>
  <hyperlinks>
    <hyperlink ref="F1" location="Meny!A1" tooltip="Gå til arket &quot;Meny&quot;" display="Hovedmeny"/>
  </hyperlink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A31" sqref="A31"/>
    </sheetView>
  </sheetViews>
  <sheetFormatPr defaultColWidth="11.42578125" defaultRowHeight="12.75" x14ac:dyDescent="0.2"/>
  <cols>
    <col min="1" max="1" width="16.28515625" style="61" customWidth="1"/>
    <col min="2" max="16384" width="11.42578125" style="61"/>
  </cols>
  <sheetData>
    <row r="1" spans="1:9" ht="15" x14ac:dyDescent="0.25">
      <c r="A1" s="71" t="s">
        <v>147</v>
      </c>
      <c r="F1" s="115" t="s">
        <v>126</v>
      </c>
    </row>
    <row r="2" spans="1:9" ht="15.75" x14ac:dyDescent="0.3">
      <c r="A2" s="61" t="s">
        <v>151</v>
      </c>
    </row>
    <row r="4" spans="1:9" x14ac:dyDescent="0.2">
      <c r="B4" s="61" t="s">
        <v>120</v>
      </c>
      <c r="C4" s="61" t="s">
        <v>121</v>
      </c>
      <c r="E4" s="61" t="s">
        <v>75</v>
      </c>
      <c r="H4" s="61" t="s">
        <v>152</v>
      </c>
    </row>
    <row r="5" spans="1:9" ht="15.75" x14ac:dyDescent="0.3">
      <c r="B5" s="61">
        <v>18.3</v>
      </c>
      <c r="C5" s="61">
        <v>20.5</v>
      </c>
      <c r="E5" s="62" t="s">
        <v>89</v>
      </c>
      <c r="F5" s="67">
        <f>VAR(B5:B12)</f>
        <v>4.2598214285713505</v>
      </c>
      <c r="H5" s="62" t="s">
        <v>90</v>
      </c>
      <c r="I5" s="62" t="s">
        <v>91</v>
      </c>
    </row>
    <row r="6" spans="1:9" ht="15.75" x14ac:dyDescent="0.3">
      <c r="B6" s="61">
        <v>19.899999999999999</v>
      </c>
      <c r="C6" s="61">
        <v>21.9</v>
      </c>
      <c r="E6" s="62" t="s">
        <v>92</v>
      </c>
      <c r="F6" s="67">
        <f>VAR(C5:C13)</f>
        <v>0.6269444444444453</v>
      </c>
      <c r="H6" s="67">
        <f>F5/F6</f>
        <v>6.7945756060508824</v>
      </c>
      <c r="I6" s="67">
        <f>FINV(0.025,5,7)</f>
        <v>5.285236851504278</v>
      </c>
    </row>
    <row r="7" spans="1:9" x14ac:dyDescent="0.2">
      <c r="B7" s="61">
        <v>18</v>
      </c>
      <c r="C7" s="61">
        <v>22.3</v>
      </c>
      <c r="H7" s="61" t="str">
        <f>IF(H6&gt;I6,"Det er signifikant forskel mellem varianserne","Det er en ikke signifikant forskell mellem varianserne")</f>
        <v>Det er signifikant forskel mellem varianserne</v>
      </c>
    </row>
    <row r="8" spans="1:9" x14ac:dyDescent="0.2">
      <c r="B8" s="61">
        <v>17.2</v>
      </c>
      <c r="C8" s="61">
        <v>21.2</v>
      </c>
    </row>
    <row r="9" spans="1:9" ht="15.75" x14ac:dyDescent="0.3">
      <c r="B9" s="61">
        <v>16.899999999999999</v>
      </c>
      <c r="C9" s="61">
        <v>19.899999999999999</v>
      </c>
      <c r="E9" s="63" t="s">
        <v>93</v>
      </c>
      <c r="F9" s="61">
        <v>0</v>
      </c>
    </row>
    <row r="10" spans="1:9" x14ac:dyDescent="0.2">
      <c r="B10" s="61">
        <v>20.3</v>
      </c>
      <c r="C10" s="61">
        <v>22</v>
      </c>
    </row>
    <row r="11" spans="1:9" ht="15.75" x14ac:dyDescent="0.3">
      <c r="B11" s="61">
        <v>22</v>
      </c>
      <c r="C11" s="61">
        <v>22.1</v>
      </c>
      <c r="E11" s="62" t="s">
        <v>94</v>
      </c>
      <c r="F11" s="67">
        <f>ABS(($B$14-$C$14)-$F$9)/(SQRT($F$5/$B$17+$F$6/$C$17))</f>
        <v>3.7175423105588816</v>
      </c>
    </row>
    <row r="12" spans="1:9" x14ac:dyDescent="0.2">
      <c r="B12" s="61">
        <v>15.7</v>
      </c>
      <c r="C12" s="61">
        <v>21.5</v>
      </c>
    </row>
    <row r="13" spans="1:9" x14ac:dyDescent="0.2">
      <c r="C13" s="61">
        <v>21.4</v>
      </c>
    </row>
    <row r="14" spans="1:9" x14ac:dyDescent="0.2">
      <c r="A14" s="61" t="s">
        <v>153</v>
      </c>
      <c r="B14" s="69">
        <f>AVERAGE(B5:B12)</f>
        <v>18.537500000000001</v>
      </c>
      <c r="C14" s="69">
        <f>AVERAGE(C5:C13)</f>
        <v>21.422222222222224</v>
      </c>
      <c r="E14" s="61" t="s">
        <v>148</v>
      </c>
      <c r="G14" s="61">
        <v>0.05</v>
      </c>
    </row>
    <row r="16" spans="1:9" ht="15.75" x14ac:dyDescent="0.3">
      <c r="B16" s="66" t="s">
        <v>96</v>
      </c>
      <c r="C16" s="66" t="s">
        <v>97</v>
      </c>
      <c r="F16" s="62" t="s">
        <v>98</v>
      </c>
      <c r="G16" s="65">
        <f>TINV($G$14,$B$21)</f>
        <v>2.2621571627982053</v>
      </c>
      <c r="H16" s="65"/>
    </row>
    <row r="17" spans="1:8" x14ac:dyDescent="0.2">
      <c r="B17" s="68">
        <v>8</v>
      </c>
      <c r="C17" s="68">
        <v>9</v>
      </c>
      <c r="G17" s="65"/>
      <c r="H17" s="65"/>
    </row>
    <row r="18" spans="1:8" x14ac:dyDescent="0.2">
      <c r="B18" s="68"/>
      <c r="C18" s="68"/>
      <c r="G18" s="65"/>
      <c r="H18" s="65"/>
    </row>
    <row r="19" spans="1:8" x14ac:dyDescent="0.2">
      <c r="B19" s="66" t="s">
        <v>99</v>
      </c>
      <c r="C19" s="68"/>
      <c r="E19" s="71" t="str">
        <f>IF($F$11&gt;$G$16,"H0 forkastes !","H0 forkastes ikke !")</f>
        <v>H0 forkastes !</v>
      </c>
      <c r="G19" s="65"/>
      <c r="H19" s="65"/>
    </row>
    <row r="20" spans="1:8" x14ac:dyDescent="0.2">
      <c r="B20" s="72">
        <f>(((F5/B17)+(F6/C17))^2)/((((F5/B17)^2)/(B17-1))+((F6/C17)^2)/(C17-1))</f>
        <v>8.8192576685902964</v>
      </c>
      <c r="C20" s="68"/>
      <c r="G20" s="65"/>
      <c r="H20" s="65"/>
    </row>
    <row r="21" spans="1:8" x14ac:dyDescent="0.2">
      <c r="A21" s="61" t="s">
        <v>195</v>
      </c>
      <c r="B21" s="68">
        <f>ROUND(B20,0)</f>
        <v>9</v>
      </c>
      <c r="C21" s="68"/>
      <c r="G21" s="65"/>
      <c r="H21" s="65"/>
    </row>
    <row r="22" spans="1:8" x14ac:dyDescent="0.2">
      <c r="B22" s="68"/>
      <c r="C22" s="68"/>
      <c r="E22" s="61" t="s">
        <v>134</v>
      </c>
      <c r="G22" s="65"/>
      <c r="H22" s="113">
        <f>TDIST($F$11,$B$21,2)</f>
        <v>4.7887872523391566E-3</v>
      </c>
    </row>
    <row r="23" spans="1:8" x14ac:dyDescent="0.2">
      <c r="G23" s="65"/>
      <c r="H23" s="73"/>
    </row>
    <row r="24" spans="1:8" x14ac:dyDescent="0.2">
      <c r="A24" s="61" t="s">
        <v>138</v>
      </c>
    </row>
    <row r="25" spans="1:8" x14ac:dyDescent="0.2">
      <c r="A25" s="61" t="s">
        <v>196</v>
      </c>
    </row>
    <row r="27" spans="1:8" x14ac:dyDescent="0.2">
      <c r="B27" s="61" t="s">
        <v>26</v>
      </c>
      <c r="C27" s="61" t="s">
        <v>27</v>
      </c>
    </row>
    <row r="28" spans="1:8" x14ac:dyDescent="0.2">
      <c r="A28" s="61" t="s">
        <v>125</v>
      </c>
      <c r="B28" s="61">
        <v>18.537500000000001</v>
      </c>
      <c r="C28" s="61">
        <v>21.422222222222224</v>
      </c>
    </row>
    <row r="29" spans="1:8" x14ac:dyDescent="0.2">
      <c r="A29" s="61" t="s">
        <v>28</v>
      </c>
      <c r="B29" s="61">
        <v>4.2598214285713505</v>
      </c>
      <c r="C29" s="61">
        <v>0.62694444444446162</v>
      </c>
    </row>
    <row r="30" spans="1:8" x14ac:dyDescent="0.2">
      <c r="A30" s="61" t="s">
        <v>127</v>
      </c>
      <c r="B30" s="61">
        <v>8</v>
      </c>
      <c r="C30" s="61">
        <v>9</v>
      </c>
    </row>
    <row r="31" spans="1:8" x14ac:dyDescent="0.2">
      <c r="A31" s="61" t="s">
        <v>137</v>
      </c>
      <c r="B31" s="61">
        <v>0</v>
      </c>
    </row>
    <row r="32" spans="1:8" x14ac:dyDescent="0.2">
      <c r="A32" s="61" t="s">
        <v>29</v>
      </c>
      <c r="B32" s="61">
        <v>9</v>
      </c>
    </row>
    <row r="33" spans="1:2" x14ac:dyDescent="0.2">
      <c r="A33" s="61" t="s">
        <v>30</v>
      </c>
      <c r="B33" s="61">
        <v>-3.7175423105588759</v>
      </c>
    </row>
    <row r="34" spans="1:2" x14ac:dyDescent="0.2">
      <c r="A34" s="61" t="s">
        <v>31</v>
      </c>
      <c r="B34" s="61">
        <v>2.3943936258093218E-3</v>
      </c>
    </row>
    <row r="35" spans="1:2" x14ac:dyDescent="0.2">
      <c r="A35" s="61" t="s">
        <v>32</v>
      </c>
      <c r="B35" s="61">
        <v>1.83311292255007</v>
      </c>
    </row>
    <row r="36" spans="1:2" x14ac:dyDescent="0.2">
      <c r="A36" s="61" t="s">
        <v>33</v>
      </c>
      <c r="B36" s="61">
        <v>4.7887872516186435E-3</v>
      </c>
    </row>
    <row r="37" spans="1:2" x14ac:dyDescent="0.2">
      <c r="A37" s="61" t="s">
        <v>34</v>
      </c>
      <c r="B37" s="61">
        <v>2.2621571581735829</v>
      </c>
    </row>
  </sheetData>
  <phoneticPr fontId="13" type="noConversion"/>
  <hyperlinks>
    <hyperlink ref="F1" location="Meny!A1" tooltip="Gå til arket &quot;Meny&quot;" display="Hovedmeny"/>
  </hyperlinks>
  <pageMargins left="0.78740157499999996" right="0.78740157499999996" top="0.984251969" bottom="0.984251969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85" zoomScaleNormal="85" workbookViewId="0">
      <selection activeCell="A33" sqref="A33"/>
    </sheetView>
  </sheetViews>
  <sheetFormatPr defaultColWidth="11.42578125" defaultRowHeight="15" x14ac:dyDescent="0.25"/>
  <cols>
    <col min="1" max="1" width="20.28515625" customWidth="1"/>
    <col min="2" max="2" width="15.7109375" customWidth="1"/>
    <col min="3" max="3" width="16.42578125" customWidth="1"/>
  </cols>
  <sheetData>
    <row r="1" spans="1:12" x14ac:dyDescent="0.25">
      <c r="A1" s="1" t="s">
        <v>21</v>
      </c>
      <c r="C1" s="115" t="s">
        <v>126</v>
      </c>
    </row>
    <row r="3" spans="1:12" ht="18" x14ac:dyDescent="0.35">
      <c r="A3" s="6" t="s">
        <v>197</v>
      </c>
      <c r="B3" s="6" t="s">
        <v>154</v>
      </c>
      <c r="C3" s="6" t="s">
        <v>155</v>
      </c>
      <c r="D3" s="6" t="s">
        <v>35</v>
      </c>
    </row>
    <row r="4" spans="1:12" ht="18" x14ac:dyDescent="0.35">
      <c r="A4" s="6">
        <v>1</v>
      </c>
      <c r="B4" s="6">
        <v>85.3</v>
      </c>
      <c r="C4" s="6">
        <v>84.5</v>
      </c>
      <c r="D4" s="16">
        <f>B4-C4</f>
        <v>0.79999999999999716</v>
      </c>
      <c r="F4" t="s">
        <v>8</v>
      </c>
      <c r="G4" s="7">
        <f>(D10*SQRT(5))/D11</f>
        <v>2.4458549437147528</v>
      </c>
    </row>
    <row r="5" spans="1:12" x14ac:dyDescent="0.25">
      <c r="A5" s="6">
        <v>2</v>
      </c>
      <c r="B5" s="6">
        <v>120.3</v>
      </c>
      <c r="C5" s="6">
        <v>119.1</v>
      </c>
      <c r="D5" s="16">
        <f>B5-C5</f>
        <v>1.2000000000000028</v>
      </c>
    </row>
    <row r="6" spans="1:12" x14ac:dyDescent="0.25">
      <c r="A6" s="6">
        <v>3</v>
      </c>
      <c r="B6" s="16">
        <v>99</v>
      </c>
      <c r="C6" s="6">
        <v>99.2</v>
      </c>
      <c r="D6" s="16">
        <f>B6-C6</f>
        <v>-0.20000000000000284</v>
      </c>
      <c r="F6" s="3" t="s">
        <v>14</v>
      </c>
      <c r="G6" s="6">
        <v>0.1</v>
      </c>
      <c r="H6" s="6">
        <v>0.05</v>
      </c>
      <c r="I6" s="6">
        <v>2.5000000000000001E-2</v>
      </c>
      <c r="J6" s="6">
        <v>0.01</v>
      </c>
      <c r="K6" s="6"/>
      <c r="L6" s="6"/>
    </row>
    <row r="7" spans="1:12" x14ac:dyDescent="0.25">
      <c r="A7" s="6">
        <v>4</v>
      </c>
      <c r="B7" s="16">
        <v>87.9</v>
      </c>
      <c r="C7" s="6">
        <v>86.1</v>
      </c>
      <c r="D7" s="16">
        <f>B7-C7</f>
        <v>1.8000000000000114</v>
      </c>
      <c r="G7" s="6"/>
      <c r="H7" s="6"/>
      <c r="I7" s="6"/>
      <c r="J7" s="6"/>
    </row>
    <row r="8" spans="1:12" x14ac:dyDescent="0.25">
      <c r="A8" s="6">
        <v>5</v>
      </c>
      <c r="B8" s="6">
        <v>105.2</v>
      </c>
      <c r="C8" s="6">
        <v>104.7</v>
      </c>
      <c r="D8" s="16">
        <f>B8-C8</f>
        <v>0.5</v>
      </c>
      <c r="F8" t="s">
        <v>22</v>
      </c>
      <c r="G8" s="6"/>
      <c r="H8" s="6"/>
      <c r="I8" s="6"/>
      <c r="J8" s="6"/>
    </row>
    <row r="9" spans="1:12" ht="18" x14ac:dyDescent="0.35">
      <c r="A9" s="6"/>
      <c r="F9" t="s">
        <v>36</v>
      </c>
      <c r="G9" s="7">
        <f>TINV(G6,4)</f>
        <v>2.1318467863266499</v>
      </c>
      <c r="H9" s="7">
        <f>TINV(H6,4)</f>
        <v>2.7764451051977934</v>
      </c>
      <c r="I9" s="7">
        <f>TINV(I6,4)</f>
        <v>3.4954059325164377</v>
      </c>
      <c r="J9" s="7">
        <f>TINV(J6,4)</f>
        <v>4.604094871349993</v>
      </c>
      <c r="K9" s="7"/>
      <c r="L9" s="7"/>
    </row>
    <row r="10" spans="1:12" x14ac:dyDescent="0.25">
      <c r="C10" t="s">
        <v>125</v>
      </c>
      <c r="D10" s="17">
        <f>AVERAGE(D4:D8)</f>
        <v>0.82000000000000173</v>
      </c>
      <c r="G10" s="7"/>
      <c r="H10" s="7"/>
      <c r="I10" s="7"/>
      <c r="J10" s="7"/>
      <c r="K10" s="7"/>
      <c r="L10" s="7"/>
    </row>
    <row r="11" spans="1:12" x14ac:dyDescent="0.25">
      <c r="C11" t="s">
        <v>156</v>
      </c>
      <c r="D11" s="17">
        <f>STDEV(D4:D8)</f>
        <v>0.74966659255965751</v>
      </c>
      <c r="F11" t="s">
        <v>23</v>
      </c>
      <c r="G11" s="7"/>
      <c r="H11" s="7"/>
      <c r="I11" s="7"/>
      <c r="J11" s="7"/>
      <c r="K11" s="7"/>
      <c r="L11" s="7"/>
    </row>
    <row r="12" spans="1:12" ht="18" x14ac:dyDescent="0.35">
      <c r="F12" t="s">
        <v>37</v>
      </c>
      <c r="G12" s="7">
        <f>TINV(2*G6,4)</f>
        <v>1.5332062740589443</v>
      </c>
      <c r="H12" s="7">
        <f>TINV(2*H6,4)</f>
        <v>2.1318467863266499</v>
      </c>
      <c r="I12" s="7">
        <f>TINV(2*I6,4)</f>
        <v>2.7764451051977934</v>
      </c>
      <c r="J12" s="7">
        <f>TINV(2*J6,4)</f>
        <v>3.7469473879791968</v>
      </c>
      <c r="K12" s="7"/>
      <c r="L12" s="7"/>
    </row>
    <row r="13" spans="1:12" x14ac:dyDescent="0.25">
      <c r="G13" s="6"/>
      <c r="H13" s="6"/>
      <c r="I13" s="6"/>
      <c r="J13" s="6"/>
    </row>
    <row r="15" spans="1:12" x14ac:dyDescent="0.25">
      <c r="F15" t="s">
        <v>157</v>
      </c>
    </row>
    <row r="16" spans="1:12" x14ac:dyDescent="0.25">
      <c r="F16" t="s">
        <v>24</v>
      </c>
      <c r="G16" s="114">
        <f>TDIST($G$4,4,2)</f>
        <v>7.0760473764010193E-2</v>
      </c>
    </row>
    <row r="17" spans="1:7" x14ac:dyDescent="0.25">
      <c r="F17" t="s">
        <v>25</v>
      </c>
      <c r="G17" s="114">
        <f>TDIST($G$4,4,1)</f>
        <v>3.5380236882005096E-2</v>
      </c>
    </row>
    <row r="19" spans="1:7" x14ac:dyDescent="0.25">
      <c r="A19" s="2" t="s">
        <v>158</v>
      </c>
    </row>
    <row r="20" spans="1:7" x14ac:dyDescent="0.25">
      <c r="A20" t="s">
        <v>159</v>
      </c>
    </row>
    <row r="21" spans="1:7" ht="15.75" thickBot="1" x14ac:dyDescent="0.3"/>
    <row r="22" spans="1:7" x14ac:dyDescent="0.25">
      <c r="A22" s="18"/>
      <c r="B22" s="18" t="s">
        <v>26</v>
      </c>
      <c r="C22" s="18" t="s">
        <v>27</v>
      </c>
    </row>
    <row r="23" spans="1:7" x14ac:dyDescent="0.25">
      <c r="A23" s="19" t="s">
        <v>125</v>
      </c>
      <c r="B23" s="20">
        <v>99.539999999999992</v>
      </c>
      <c r="C23" s="20">
        <v>98.72</v>
      </c>
    </row>
    <row r="24" spans="1:7" x14ac:dyDescent="0.25">
      <c r="A24" s="19" t="s">
        <v>28</v>
      </c>
      <c r="B24" s="20">
        <v>200.39300000000185</v>
      </c>
      <c r="C24" s="20">
        <v>203.20200000000114</v>
      </c>
    </row>
    <row r="25" spans="1:7" x14ac:dyDescent="0.25">
      <c r="A25" s="19" t="s">
        <v>127</v>
      </c>
      <c r="B25" s="19">
        <v>5</v>
      </c>
      <c r="C25" s="19">
        <v>5</v>
      </c>
    </row>
    <row r="26" spans="1:7" x14ac:dyDescent="0.25">
      <c r="A26" s="19" t="s">
        <v>198</v>
      </c>
      <c r="B26" s="21">
        <v>0.99863170254587208</v>
      </c>
      <c r="C26" s="19"/>
    </row>
    <row r="27" spans="1:7" x14ac:dyDescent="0.25">
      <c r="A27" s="19" t="s">
        <v>137</v>
      </c>
      <c r="B27" s="19">
        <v>0</v>
      </c>
      <c r="C27" s="19"/>
    </row>
    <row r="28" spans="1:7" x14ac:dyDescent="0.25">
      <c r="A28" s="19" t="s">
        <v>29</v>
      </c>
      <c r="B28" s="19">
        <v>4</v>
      </c>
      <c r="C28" s="19"/>
    </row>
    <row r="29" spans="1:7" x14ac:dyDescent="0.25">
      <c r="A29" s="19" t="s">
        <v>30</v>
      </c>
      <c r="B29" s="20">
        <v>2.4458549437147528</v>
      </c>
      <c r="C29" s="19"/>
    </row>
    <row r="30" spans="1:7" x14ac:dyDescent="0.25">
      <c r="A30" s="19" t="s">
        <v>31</v>
      </c>
      <c r="B30" s="20">
        <v>3.5380236858433611E-2</v>
      </c>
      <c r="C30" s="19"/>
    </row>
    <row r="31" spans="1:7" x14ac:dyDescent="0.25">
      <c r="A31" s="19" t="s">
        <v>32</v>
      </c>
      <c r="B31" s="20">
        <v>2.1318467819039775</v>
      </c>
      <c r="C31" s="19"/>
    </row>
    <row r="32" spans="1:7" x14ac:dyDescent="0.25">
      <c r="A32" s="19" t="s">
        <v>33</v>
      </c>
      <c r="B32" s="20">
        <v>7.0760473716867223E-2</v>
      </c>
      <c r="C32" s="19"/>
    </row>
    <row r="33" spans="1:3" ht="15.75" thickBot="1" x14ac:dyDescent="0.3">
      <c r="A33" s="22" t="s">
        <v>34</v>
      </c>
      <c r="B33" s="23">
        <v>2.7764451050438028</v>
      </c>
      <c r="C33" s="22"/>
    </row>
  </sheetData>
  <phoneticPr fontId="0" type="noConversion"/>
  <hyperlinks>
    <hyperlink ref="C1" location="Meny!A1" tooltip="Gå til arket &quot;Meny&quot;" display="Hovedmeny"/>
  </hyperlinks>
  <pageMargins left="0.7" right="0.7" top="0.78740157499999996" bottom="0.78740157499999996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85" zoomScaleNormal="85" workbookViewId="0"/>
  </sheetViews>
  <sheetFormatPr defaultColWidth="11.42578125" defaultRowHeight="15" x14ac:dyDescent="0.25"/>
  <cols>
    <col min="1" max="1" width="14" customWidth="1"/>
    <col min="3" max="3" width="4.85546875" customWidth="1"/>
  </cols>
  <sheetData>
    <row r="1" spans="1:5" x14ac:dyDescent="0.25">
      <c r="A1" s="1" t="s">
        <v>38</v>
      </c>
      <c r="D1" s="115" t="s">
        <v>126</v>
      </c>
    </row>
    <row r="4" spans="1:5" x14ac:dyDescent="0.25">
      <c r="A4" t="s">
        <v>39</v>
      </c>
    </row>
    <row r="5" spans="1:5" ht="18.75" x14ac:dyDescent="0.35">
      <c r="A5">
        <v>1</v>
      </c>
      <c r="B5" s="2">
        <v>33.799999999999997</v>
      </c>
      <c r="D5" s="6" t="s">
        <v>40</v>
      </c>
      <c r="E5">
        <f>B16*9/B18</f>
        <v>3.0240000000000009</v>
      </c>
    </row>
    <row r="6" spans="1:5" x14ac:dyDescent="0.25">
      <c r="A6">
        <v>2</v>
      </c>
      <c r="B6" s="2">
        <v>30.5</v>
      </c>
      <c r="D6" s="6" t="s">
        <v>41</v>
      </c>
      <c r="E6" s="24">
        <f>2*(1-CHIDIST(E5,9))</f>
        <v>7.332831452723787E-2</v>
      </c>
    </row>
    <row r="7" spans="1:5" x14ac:dyDescent="0.25">
      <c r="A7">
        <v>3</v>
      </c>
      <c r="B7" s="2">
        <v>32</v>
      </c>
    </row>
    <row r="8" spans="1:5" x14ac:dyDescent="0.25">
      <c r="A8">
        <v>4</v>
      </c>
      <c r="B8" s="2">
        <v>29.8</v>
      </c>
    </row>
    <row r="9" spans="1:5" x14ac:dyDescent="0.25">
      <c r="A9">
        <v>5</v>
      </c>
      <c r="B9" s="2">
        <v>32.5</v>
      </c>
    </row>
    <row r="10" spans="1:5" x14ac:dyDescent="0.25">
      <c r="A10">
        <v>6</v>
      </c>
      <c r="B10" s="2">
        <v>32.1</v>
      </c>
    </row>
    <row r="11" spans="1:5" x14ac:dyDescent="0.25">
      <c r="A11">
        <v>7</v>
      </c>
      <c r="B11" s="2">
        <v>30.9</v>
      </c>
    </row>
    <row r="12" spans="1:5" x14ac:dyDescent="0.25">
      <c r="A12">
        <v>8</v>
      </c>
      <c r="B12" s="2">
        <v>34.200000000000003</v>
      </c>
    </row>
    <row r="13" spans="1:5" x14ac:dyDescent="0.25">
      <c r="A13">
        <v>9</v>
      </c>
      <c r="B13" s="2">
        <v>32.1</v>
      </c>
    </row>
    <row r="14" spans="1:5" x14ac:dyDescent="0.25">
      <c r="A14">
        <v>10</v>
      </c>
      <c r="B14" s="2">
        <v>30.7</v>
      </c>
    </row>
    <row r="16" spans="1:5" ht="17.25" x14ac:dyDescent="0.25">
      <c r="A16" t="s">
        <v>42</v>
      </c>
      <c r="B16">
        <f>VAR(B5:B14)</f>
        <v>2.0160000000000005</v>
      </c>
    </row>
    <row r="18" spans="1:2" ht="18.75" x14ac:dyDescent="0.35">
      <c r="A18" t="s">
        <v>43</v>
      </c>
      <c r="B18" s="2">
        <v>6</v>
      </c>
    </row>
  </sheetData>
  <phoneticPr fontId="0" type="noConversion"/>
  <hyperlinks>
    <hyperlink ref="D1" location="Meny!A1" tooltip="Gå til arket &quot;Meny&quot;" display="Hovedmeny"/>
  </hyperlinks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Menu</vt:lpstr>
      <vt:lpstr>Kap 4.1 - Z-test - to grupper</vt:lpstr>
      <vt:lpstr>Kap 4.2 - fig 4.4</vt:lpstr>
      <vt:lpstr>Kap 4.2 - fig 4.5</vt:lpstr>
      <vt:lpstr>Kap 4.3, t-test</vt:lpstr>
      <vt:lpstr>Kap 4.3, t-test to gr - ens s</vt:lpstr>
      <vt:lpstr>Kap 4.3, t-test to gr - ikke s</vt:lpstr>
      <vt:lpstr>Kap 4.3, t-test i par</vt:lpstr>
      <vt:lpstr>Kap 4.4, chi-kvadrattest</vt:lpstr>
      <vt:lpstr>Kap 4.5</vt:lpstr>
      <vt:lpstr>Kap 4.6, fig 4.14</vt:lpstr>
      <vt:lpstr>Kap 4.6, F-test</vt:lpstr>
      <vt:lpstr>Kap 4.7, Envejs ANOVA</vt:lpstr>
      <vt:lpstr>Kap 4.8, Tovejs ANOVA additiv</vt:lpstr>
      <vt:lpstr>Kap 4.9, Tovejs ANOVA int</vt:lpstr>
    </vt:vector>
  </TitlesOfParts>
  <Company>HiNT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IT-Tjenesten</dc:creator>
  <cp:lastModifiedBy>Emilie Hartmann-Petersen</cp:lastModifiedBy>
  <cp:lastPrinted>2012-06-29T09:43:25Z</cp:lastPrinted>
  <dcterms:created xsi:type="dcterms:W3CDTF">2007-10-18T16:16:23Z</dcterms:created>
  <dcterms:modified xsi:type="dcterms:W3CDTF">2012-06-29T12:39:01Z</dcterms:modified>
</cp:coreProperties>
</file>