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wmf" ContentType="image/x-w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8580"/>
  </bookViews>
  <sheets>
    <sheet name="Test 1" sheetId="1" r:id="rId1"/>
    <sheet name="Test 2" sheetId="2" r:id="rId2"/>
    <sheet name="Test 3" sheetId="3" r:id="rId3"/>
    <sheet name="Test 4" sheetId="4" r:id="rId4"/>
    <sheet name="Test 5" sheetId="5" r:id="rId5"/>
    <sheet name="Test 6" sheetId="6" r:id="rId6"/>
    <sheet name="Test 7" sheetId="7" r:id="rId7"/>
  </sheets>
  <calcPr calcId="125725"/>
  <smartTagPr show="none"/>
</workbook>
</file>

<file path=xl/calcChain.xml><?xml version="1.0" encoding="utf-8"?>
<calcChain xmlns="http://schemas.openxmlformats.org/spreadsheetml/2006/main">
  <c r="F13" i="7"/>
  <c r="C13"/>
  <c r="C22"/>
  <c r="C21"/>
  <c r="C18"/>
  <c r="C17"/>
  <c r="F14"/>
  <c r="C23" i="5"/>
  <c r="C22"/>
  <c r="C20"/>
  <c r="C19"/>
  <c r="C12" i="6"/>
  <c r="A9" i="5"/>
  <c r="B9"/>
  <c r="C23" i="1"/>
  <c r="C22"/>
  <c r="C20"/>
  <c r="C19"/>
  <c r="A10"/>
  <c r="F17" s="1"/>
  <c r="A9"/>
  <c r="A10" i="2"/>
  <c r="F17" s="1"/>
  <c r="A13"/>
  <c r="A9"/>
  <c r="C23"/>
  <c r="C22"/>
  <c r="C20"/>
  <c r="C19"/>
  <c r="C4" i="3"/>
  <c r="C5"/>
  <c r="C8" s="1"/>
  <c r="C6"/>
  <c r="C7"/>
  <c r="C9"/>
  <c r="A9" i="4"/>
  <c r="B9"/>
  <c r="C22" s="1"/>
  <c r="C21"/>
  <c r="C18"/>
  <c r="B8"/>
  <c r="A8"/>
  <c r="C13" s="1"/>
  <c r="A10"/>
  <c r="B10"/>
  <c r="A10" i="5"/>
  <c r="B10"/>
  <c r="C13" s="1"/>
  <c r="B8"/>
  <c r="A8"/>
  <c r="C14" s="1"/>
  <c r="C12"/>
  <c r="A9" i="6"/>
  <c r="A11"/>
  <c r="A13" s="1"/>
  <c r="C26" s="1"/>
  <c r="C24"/>
  <c r="C23"/>
  <c r="C21"/>
  <c r="C20"/>
  <c r="A10"/>
  <c r="A9" i="7"/>
  <c r="D21" s="1"/>
  <c r="B9"/>
  <c r="A10"/>
  <c r="F10" s="1"/>
  <c r="B10"/>
  <c r="C11"/>
  <c r="B8"/>
  <c r="A8"/>
  <c r="D22" l="1"/>
  <c r="D18"/>
  <c r="F17" i="5"/>
  <c r="C17"/>
  <c r="F16"/>
  <c r="C16"/>
  <c r="C19" i="3"/>
  <c r="C16"/>
  <c r="C20"/>
  <c r="C17"/>
  <c r="F14" s="1"/>
  <c r="A12" i="2"/>
  <c r="A14" s="1"/>
  <c r="C25" s="1"/>
  <c r="A12" i="1"/>
  <c r="A14" s="1"/>
  <c r="C26" s="1"/>
  <c r="C16"/>
  <c r="F16"/>
  <c r="C16" i="2"/>
  <c r="C17"/>
  <c r="F13" i="3"/>
  <c r="C15" i="6"/>
  <c r="C17" s="1"/>
  <c r="E21"/>
  <c r="F16" s="1"/>
  <c r="F18" s="1"/>
  <c r="D17" i="7"/>
  <c r="C14" s="1"/>
  <c r="C11" i="4"/>
  <c r="C12" s="1"/>
  <c r="C19"/>
  <c r="F15" s="1"/>
  <c r="C10" i="3"/>
  <c r="C11" s="1"/>
  <c r="C17" i="1"/>
  <c r="F16" i="2"/>
  <c r="C14" i="3"/>
  <c r="E20" i="6"/>
  <c r="C16" s="1"/>
  <c r="C18" s="1"/>
  <c r="F15"/>
  <c r="F17" s="1"/>
  <c r="C13" i="3" l="1"/>
  <c r="C16" i="4"/>
  <c r="C15"/>
  <c r="F16"/>
</calcChain>
</file>

<file path=xl/sharedStrings.xml><?xml version="1.0" encoding="utf-8"?>
<sst xmlns="http://schemas.openxmlformats.org/spreadsheetml/2006/main" count="223" uniqueCount="74">
  <si>
    <t>n</t>
  </si>
  <si>
    <r>
      <t>m</t>
    </r>
    <r>
      <rPr>
        <vertAlign val="subscript"/>
        <sz val="10"/>
        <rFont val="Arial"/>
        <family val="2"/>
      </rPr>
      <t>0</t>
    </r>
  </si>
  <si>
    <t>s</t>
  </si>
  <si>
    <r>
      <t>z</t>
    </r>
    <r>
      <rPr>
        <vertAlign val="subscript"/>
        <sz val="10"/>
        <rFont val="Arial"/>
        <family val="2"/>
      </rPr>
      <t>0</t>
    </r>
  </si>
  <si>
    <t xml:space="preserve"> </t>
  </si>
  <si>
    <t>Diff</t>
  </si>
  <si>
    <t>t</t>
  </si>
  <si>
    <t>Lab 1</t>
  </si>
  <si>
    <t>Lab 2</t>
  </si>
  <si>
    <r>
      <t>s</t>
    </r>
    <r>
      <rPr>
        <vertAlign val="subscript"/>
        <sz val="10"/>
        <rFont val="Arial"/>
        <family val="2"/>
      </rPr>
      <t>d</t>
    </r>
  </si>
  <si>
    <r>
      <t>t</t>
    </r>
    <r>
      <rPr>
        <vertAlign val="subscript"/>
        <sz val="10"/>
        <rFont val="Arial"/>
        <family val="2"/>
      </rPr>
      <t>0</t>
    </r>
  </si>
  <si>
    <r>
      <t>n</t>
    </r>
    <r>
      <rPr>
        <vertAlign val="subscript"/>
        <sz val="10"/>
        <rFont val="MS Sans Serif"/>
        <family val="2"/>
      </rPr>
      <t>i</t>
    </r>
  </si>
  <si>
    <r>
      <t>s</t>
    </r>
    <r>
      <rPr>
        <vertAlign val="subscript"/>
        <sz val="10"/>
        <rFont val="MS Sans Serif"/>
        <family val="2"/>
      </rPr>
      <t>i</t>
    </r>
  </si>
  <si>
    <r>
      <t>s</t>
    </r>
    <r>
      <rPr>
        <vertAlign val="subscript"/>
        <sz val="10"/>
        <rFont val="MS Sans Serif"/>
        <family val="2"/>
      </rPr>
      <t>p</t>
    </r>
  </si>
  <si>
    <r>
      <t>s</t>
    </r>
    <r>
      <rPr>
        <vertAlign val="subscript"/>
        <sz val="10"/>
        <rFont val="Symbol"/>
        <family val="1"/>
        <charset val="2"/>
      </rPr>
      <t>0</t>
    </r>
  </si>
  <si>
    <r>
      <t>c</t>
    </r>
    <r>
      <rPr>
        <vertAlign val="subscript"/>
        <sz val="10"/>
        <rFont val="Times New Roman"/>
        <family val="1"/>
      </rPr>
      <t>0</t>
    </r>
    <r>
      <rPr>
        <vertAlign val="superscript"/>
        <sz val="10"/>
        <rFont val="Times New Roman"/>
        <family val="1"/>
      </rPr>
      <t>2</t>
    </r>
  </si>
  <si>
    <r>
      <t>F</t>
    </r>
    <r>
      <rPr>
        <i/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</t>
    </r>
  </si>
  <si>
    <t>df</t>
  </si>
  <si>
    <t>Data</t>
  </si>
  <si>
    <t>Mean</t>
  </si>
  <si>
    <t>t-Test: Paired Two Sample for Means</t>
  </si>
  <si>
    <t>Variance</t>
  </si>
  <si>
    <t>Observations</t>
  </si>
  <si>
    <t>Pearson Correlation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</si>
  <si>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</si>
  <si>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</si>
  <si>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</si>
  <si>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</si>
  <si>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</si>
  <si>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</si>
  <si>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t-Test: Two-Sample Assuming Equal Variances</t>
  </si>
  <si>
    <t>Pooled Variance</t>
  </si>
  <si>
    <t>t-Test: Two-Sample Assuming Unequal Variances</t>
  </si>
  <si>
    <t>F-Test Two-Sample for Variances</t>
  </si>
  <si>
    <t>F</t>
  </si>
  <si>
    <t>P(F&lt;=f) one-tail</t>
  </si>
  <si>
    <t>F Critical one-tail</t>
  </si>
  <si>
    <t>Upper 95%</t>
  </si>
  <si>
    <t>Lower 95%</t>
  </si>
  <si>
    <t>Lower 99%</t>
  </si>
  <si>
    <t>Upper 99%</t>
  </si>
  <si>
    <t>Upper</t>
  </si>
  <si>
    <t>Lower</t>
  </si>
  <si>
    <r>
      <t>s</t>
    </r>
    <r>
      <rPr>
        <i/>
        <vertAlign val="subscript"/>
        <sz val="12"/>
        <rFont val="Times New Roman"/>
        <family val="1"/>
      </rPr>
      <t>0</t>
    </r>
    <r>
      <rPr>
        <i/>
        <vertAlign val="superscript"/>
        <sz val="12"/>
        <rFont val="Symbol"/>
        <family val="1"/>
        <charset val="2"/>
      </rPr>
      <t>2</t>
    </r>
    <r>
      <rPr>
        <sz val="12"/>
        <rFont val="Times New Roman"/>
        <family val="1"/>
      </rPr>
      <t xml:space="preserve"> </t>
    </r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</si>
  <si>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</si>
  <si>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</si>
  <si>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</si>
  <si>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</si>
  <si>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</si>
  <si>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</si>
  <si>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</si>
  <si>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</si>
  <si>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</si>
  <si>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</si>
  <si>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</si>
  <si>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</si>
  <si>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Level(95,0%)</t>
  </si>
  <si>
    <t>Test no. 1</t>
  </si>
  <si>
    <t>Test no. 2</t>
  </si>
  <si>
    <t>Test no. 3</t>
  </si>
  <si>
    <t>Test no. 4</t>
  </si>
  <si>
    <t>Test no. 5</t>
  </si>
  <si>
    <t>Test no. 6</t>
  </si>
  <si>
    <t>Test no. 7</t>
  </si>
  <si>
    <t>Confidence Interval</t>
  </si>
  <si>
    <t>Confidence Interval varians</t>
  </si>
  <si>
    <t>Confidence Interval std. dev.</t>
  </si>
  <si>
    <t>Two-way Test</t>
  </si>
  <si>
    <t>One-way Test</t>
  </si>
  <si>
    <t>P-value</t>
  </si>
  <si>
    <t>Critical 5%</t>
  </si>
  <si>
    <t>Critical 1%</t>
  </si>
  <si>
    <t>Sample 1</t>
  </si>
  <si>
    <t>Sample 2</t>
  </si>
</sst>
</file>

<file path=xl/styles.xml><?xml version="1.0" encoding="utf-8"?>
<styleSheet xmlns="http://schemas.openxmlformats.org/spreadsheetml/2006/main">
  <numFmts count="4">
    <numFmt numFmtId="164" formatCode="0.00000"/>
    <numFmt numFmtId="165" formatCode="0.0000"/>
    <numFmt numFmtId="166" formatCode="0.000"/>
    <numFmt numFmtId="167" formatCode="0.0"/>
  </numFmts>
  <fonts count="2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name val="MS Sans Serif"/>
      <family val="2"/>
    </font>
    <font>
      <vertAlign val="subscript"/>
      <sz val="10"/>
      <name val="MS Sans Serif"/>
      <family val="2"/>
    </font>
    <font>
      <vertAlign val="subscript"/>
      <sz val="10"/>
      <name val="Symbol"/>
      <family val="1"/>
      <charset val="2"/>
    </font>
    <font>
      <vertAlign val="subscript"/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i/>
      <vertAlign val="subscript"/>
      <sz val="10"/>
      <name val="Times New Roman"/>
      <family val="1"/>
    </font>
    <font>
      <b/>
      <sz val="10"/>
      <name val="Arial"/>
      <family val="2"/>
    </font>
    <font>
      <b/>
      <u/>
      <sz val="12"/>
      <name val="Times New Roman"/>
      <family val="1"/>
    </font>
    <font>
      <i/>
      <sz val="10"/>
      <name val="Arial"/>
      <family val="2"/>
    </font>
    <font>
      <i/>
      <sz val="12"/>
      <name val="Symbol"/>
      <family val="1"/>
      <charset val="2"/>
    </font>
    <font>
      <i/>
      <vertAlign val="subscript"/>
      <sz val="12"/>
      <name val="Times New Roman"/>
      <family val="1"/>
    </font>
    <font>
      <i/>
      <vertAlign val="superscript"/>
      <sz val="12"/>
      <name val="Symbol"/>
      <family val="1"/>
      <charset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3" fillId="0" borderId="0" xfId="0" applyFont="1"/>
    <xf numFmtId="166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" fillId="0" borderId="0" xfId="0" applyFont="1"/>
    <xf numFmtId="0" fontId="13" fillId="0" borderId="0" xfId="0" applyFont="1"/>
    <xf numFmtId="166" fontId="1" fillId="2" borderId="0" xfId="0" applyNumberFormat="1" applyFont="1" applyFill="1"/>
    <xf numFmtId="0" fontId="0" fillId="2" borderId="0" xfId="0" applyFill="1"/>
    <xf numFmtId="166" fontId="0" fillId="2" borderId="0" xfId="0" applyNumberFormat="1" applyFill="1"/>
    <xf numFmtId="164" fontId="0" fillId="0" borderId="0" xfId="0" applyNumberFormat="1"/>
    <xf numFmtId="0" fontId="14" fillId="0" borderId="0" xfId="0" applyFont="1"/>
    <xf numFmtId="0" fontId="1" fillId="0" borderId="0" xfId="0" applyFont="1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15" fillId="0" borderId="2" xfId="0" applyFont="1" applyFill="1" applyBorder="1" applyAlignment="1">
      <alignment horizontal="center"/>
    </xf>
    <xf numFmtId="165" fontId="0" fillId="2" borderId="0" xfId="0" applyNumberFormat="1" applyFill="1"/>
    <xf numFmtId="167" fontId="3" fillId="0" borderId="0" xfId="0" applyNumberFormat="1" applyFont="1"/>
    <xf numFmtId="2" fontId="1" fillId="2" borderId="0" xfId="0" applyNumberFormat="1" applyFont="1" applyFill="1"/>
    <xf numFmtId="0" fontId="16" fillId="0" borderId="0" xfId="0" applyFont="1"/>
    <xf numFmtId="2" fontId="0" fillId="2" borderId="0" xfId="0" applyNumberFormat="1" applyFill="1"/>
    <xf numFmtId="0" fontId="2" fillId="0" borderId="0" xfId="0" applyFont="1"/>
    <xf numFmtId="167" fontId="1" fillId="2" borderId="0" xfId="0" applyNumberFormat="1" applyFont="1" applyFill="1"/>
    <xf numFmtId="0" fontId="15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142875</xdr:colOff>
      <xdr:row>9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6850" y="1495425"/>
          <a:ext cx="1428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142875</xdr:colOff>
      <xdr:row>11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6850" y="1857375"/>
          <a:ext cx="142875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142875</xdr:colOff>
      <xdr:row>11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6850" y="1857375"/>
          <a:ext cx="142875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142875</xdr:colOff>
      <xdr:row>11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6850" y="1857375"/>
          <a:ext cx="142875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142875</xdr:colOff>
      <xdr:row>9</xdr:row>
      <xdr:rowOff>152400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495425"/>
          <a:ext cx="1428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142875</xdr:colOff>
      <xdr:row>11</xdr:row>
      <xdr:rowOff>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6825" y="1857375"/>
          <a:ext cx="142875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142875</xdr:colOff>
      <xdr:row>11</xdr:row>
      <xdr:rowOff>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6825" y="1857375"/>
          <a:ext cx="142875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142875</xdr:colOff>
      <xdr:row>11</xdr:row>
      <xdr:rowOff>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6825" y="1857375"/>
          <a:ext cx="142875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9525</xdr:rowOff>
    </xdr:from>
    <xdr:to>
      <xdr:col>1</xdr:col>
      <xdr:colOff>142875</xdr:colOff>
      <xdr:row>10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1504950"/>
          <a:ext cx="1428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oleObject" Target="../embeddings/oleObject2.bin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oleObject" Target="../embeddings/oleObject4.bin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5" Type="http://schemas.openxmlformats.org/officeDocument/2006/relationships/oleObject" Target="../embeddings/oleObject8.bin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zoomScale="125" workbookViewId="0"/>
  </sheetViews>
  <sheetFormatPr defaultRowHeight="12.75"/>
  <cols>
    <col min="1" max="1" width="22" style="8" customWidth="1"/>
    <col min="2" max="2" width="13.5703125" style="8" bestFit="1" customWidth="1"/>
  </cols>
  <sheetData>
    <row r="1" spans="1:7" ht="15.75">
      <c r="A1" s="14" t="s">
        <v>57</v>
      </c>
    </row>
    <row r="3" spans="1:7">
      <c r="A3" s="15" t="s">
        <v>18</v>
      </c>
    </row>
    <row r="4" spans="1:7">
      <c r="A4">
        <v>4.5999999999999996</v>
      </c>
      <c r="B4"/>
    </row>
    <row r="5" spans="1:7">
      <c r="A5">
        <v>8.5</v>
      </c>
      <c r="B5"/>
    </row>
    <row r="6" spans="1:7">
      <c r="A6">
        <v>4.9000000000000004</v>
      </c>
      <c r="B6"/>
    </row>
    <row r="7" spans="1:7">
      <c r="A7">
        <v>5.3</v>
      </c>
      <c r="B7"/>
    </row>
    <row r="8" spans="1:7">
      <c r="A8"/>
      <c r="B8"/>
    </row>
    <row r="9" spans="1:7">
      <c r="A9">
        <f>COUNTA(A4:A7)</f>
        <v>4</v>
      </c>
      <c r="B9" t="s">
        <v>0</v>
      </c>
    </row>
    <row r="10" spans="1:7">
      <c r="A10">
        <f>AVERAGE(A4:A7)</f>
        <v>5.8250000000000002</v>
      </c>
      <c r="B10"/>
    </row>
    <row r="11" spans="1:7" ht="15.75">
      <c r="A11">
        <v>5</v>
      </c>
      <c r="B11" s="1" t="s">
        <v>1</v>
      </c>
      <c r="C11" s="1"/>
    </row>
    <row r="12" spans="1:7">
      <c r="A12">
        <f>A10-A11</f>
        <v>0.82500000000000018</v>
      </c>
      <c r="B12" t="s">
        <v>5</v>
      </c>
    </row>
    <row r="13" spans="1:7">
      <c r="A13">
        <v>1.5</v>
      </c>
      <c r="B13" s="1" t="s">
        <v>2</v>
      </c>
    </row>
    <row r="14" spans="1:7" ht="15.75">
      <c r="A14" s="11">
        <f>A12/(A13/SQRT(A9))</f>
        <v>1.1000000000000003</v>
      </c>
      <c r="B14" s="2" t="s">
        <v>3</v>
      </c>
    </row>
    <row r="15" spans="1:7">
      <c r="A15" s="2"/>
      <c r="B15" s="2"/>
    </row>
    <row r="16" spans="1:7">
      <c r="A16" s="9" t="s">
        <v>64</v>
      </c>
      <c r="B16" s="2"/>
      <c r="C16" s="21">
        <f>A10-C19*A13/SQRT(A9)</f>
        <v>4.3550270115949594</v>
      </c>
      <c r="D16" t="s">
        <v>38</v>
      </c>
      <c r="F16" s="21">
        <f>A10-C20*A13/SQRT(A9)</f>
        <v>3.8931280223383178</v>
      </c>
      <c r="G16" t="s">
        <v>39</v>
      </c>
    </row>
    <row r="17" spans="1:7">
      <c r="A17" s="9"/>
      <c r="B17" s="2"/>
      <c r="C17" s="21">
        <f>A10+C19*A13/SQRT(A9)</f>
        <v>7.2949729884050409</v>
      </c>
      <c r="D17" t="s">
        <v>37</v>
      </c>
      <c r="F17" s="21">
        <f>A10+C20*A13/SQRT(A9)</f>
        <v>7.7568719776616826</v>
      </c>
      <c r="G17" t="s">
        <v>40</v>
      </c>
    </row>
    <row r="18" spans="1:7">
      <c r="A18"/>
      <c r="B18" s="2" t="s">
        <v>4</v>
      </c>
    </row>
    <row r="19" spans="1:7">
      <c r="A19" s="9" t="s">
        <v>67</v>
      </c>
      <c r="B19" s="8" t="s">
        <v>70</v>
      </c>
      <c r="C19" s="10">
        <f>NORMSINV(1-0.05/2)</f>
        <v>1.959963984540054</v>
      </c>
    </row>
    <row r="20" spans="1:7">
      <c r="A20" s="9"/>
      <c r="B20" s="8" t="s">
        <v>71</v>
      </c>
      <c r="C20" s="10">
        <f>NORMSINV(1-0.01/2)</f>
        <v>2.5758293035489102</v>
      </c>
    </row>
    <row r="21" spans="1:7">
      <c r="A21" s="9"/>
    </row>
    <row r="22" spans="1:7">
      <c r="A22" s="9" t="s">
        <v>68</v>
      </c>
      <c r="B22" s="8" t="s">
        <v>70</v>
      </c>
      <c r="C22" s="10">
        <f>NORMSINV(1-0.05)</f>
        <v>1.6448536269514724</v>
      </c>
    </row>
    <row r="23" spans="1:7">
      <c r="B23" s="8" t="s">
        <v>71</v>
      </c>
      <c r="C23" s="10">
        <f>NORMSINV(1-0.01)</f>
        <v>2.3263478740408399</v>
      </c>
    </row>
    <row r="26" spans="1:7">
      <c r="A26" s="9" t="s">
        <v>69</v>
      </c>
      <c r="B26" s="9" t="s">
        <v>67</v>
      </c>
      <c r="C26" s="19">
        <f>2*(1-NORMSDIST(A14))</f>
        <v>0.27133212189276534</v>
      </c>
    </row>
    <row r="27" spans="1:7">
      <c r="A27" s="9"/>
      <c r="B27"/>
    </row>
    <row r="28" spans="1:7" ht="13.5" thickBot="1">
      <c r="A28"/>
      <c r="B28"/>
    </row>
    <row r="29" spans="1:7">
      <c r="A29" s="26" t="s">
        <v>18</v>
      </c>
      <c r="B29" s="26"/>
    </row>
    <row r="30" spans="1:7">
      <c r="A30" s="16"/>
      <c r="B30" s="16"/>
    </row>
    <row r="31" spans="1:7">
      <c r="A31" s="16" t="s">
        <v>19</v>
      </c>
      <c r="B31" s="16">
        <v>5.8250000000000002</v>
      </c>
    </row>
    <row r="32" spans="1:7">
      <c r="A32" s="16" t="s">
        <v>44</v>
      </c>
      <c r="B32" s="16">
        <v>0.90311959340942183</v>
      </c>
    </row>
    <row r="33" spans="1:2">
      <c r="A33" s="16" t="s">
        <v>45</v>
      </c>
      <c r="B33" s="16">
        <v>5.0999999999999996</v>
      </c>
    </row>
    <row r="34" spans="1:2">
      <c r="A34" s="16" t="s">
        <v>46</v>
      </c>
      <c r="B34" s="16" t="e">
        <v>#N/A</v>
      </c>
    </row>
    <row r="35" spans="1:2">
      <c r="A35" s="16" t="s">
        <v>47</v>
      </c>
      <c r="B35" s="16">
        <v>1.8062391868188437</v>
      </c>
    </row>
    <row r="36" spans="1:2">
      <c r="A36" s="16" t="s">
        <v>48</v>
      </c>
      <c r="B36" s="16">
        <v>3.2625000000000002</v>
      </c>
    </row>
    <row r="37" spans="1:2">
      <c r="A37" s="16" t="s">
        <v>49</v>
      </c>
      <c r="B37" s="16">
        <v>3.4934190631376438</v>
      </c>
    </row>
    <row r="38" spans="1:2">
      <c r="A38" s="16" t="s">
        <v>50</v>
      </c>
      <c r="B38" s="16">
        <v>1.8516066248870899</v>
      </c>
    </row>
    <row r="39" spans="1:2">
      <c r="A39" s="16" t="s">
        <v>51</v>
      </c>
      <c r="B39" s="16">
        <v>3.9</v>
      </c>
    </row>
    <row r="40" spans="1:2">
      <c r="A40" s="16" t="s">
        <v>52</v>
      </c>
      <c r="B40" s="16">
        <v>4.5999999999999996</v>
      </c>
    </row>
    <row r="41" spans="1:2">
      <c r="A41" s="16" t="s">
        <v>53</v>
      </c>
      <c r="B41" s="16">
        <v>8.5</v>
      </c>
    </row>
    <row r="42" spans="1:2">
      <c r="A42" s="16" t="s">
        <v>54</v>
      </c>
      <c r="B42" s="16">
        <v>23.3</v>
      </c>
    </row>
    <row r="43" spans="1:2">
      <c r="A43" s="16" t="s">
        <v>55</v>
      </c>
      <c r="B43" s="16">
        <v>4</v>
      </c>
    </row>
    <row r="44" spans="1:2" ht="13.5" thickBot="1">
      <c r="A44" s="17" t="s">
        <v>56</v>
      </c>
      <c r="B44" s="17">
        <v>2.8741323095188314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zoomScale="125" workbookViewId="0"/>
  </sheetViews>
  <sheetFormatPr defaultRowHeight="12.75"/>
  <cols>
    <col min="1" max="1" width="19" bestFit="1" customWidth="1"/>
    <col min="2" max="2" width="13.5703125" bestFit="1" customWidth="1"/>
  </cols>
  <sheetData>
    <row r="1" spans="1:7" ht="15.75">
      <c r="A1" s="14" t="s">
        <v>58</v>
      </c>
    </row>
    <row r="2" spans="1:7">
      <c r="A2" t="s">
        <v>4</v>
      </c>
    </row>
    <row r="3" spans="1:7">
      <c r="A3" s="4" t="s">
        <v>18</v>
      </c>
    </row>
    <row r="4" spans="1:7">
      <c r="A4">
        <v>4.5999999999999996</v>
      </c>
    </row>
    <row r="5" spans="1:7">
      <c r="A5">
        <v>8.5</v>
      </c>
    </row>
    <row r="6" spans="1:7">
      <c r="A6">
        <v>4.9000000000000004</v>
      </c>
    </row>
    <row r="7" spans="1:7">
      <c r="A7">
        <v>5.3</v>
      </c>
    </row>
    <row r="9" spans="1:7">
      <c r="A9">
        <f>COUNTA(A4:A7)</f>
        <v>4</v>
      </c>
      <c r="B9" t="s">
        <v>0</v>
      </c>
    </row>
    <row r="10" spans="1:7">
      <c r="A10">
        <f>AVERAGE(A4:A7)</f>
        <v>5.8250000000000002</v>
      </c>
    </row>
    <row r="11" spans="1:7" ht="15.75">
      <c r="A11">
        <v>5</v>
      </c>
      <c r="B11" s="1" t="s">
        <v>1</v>
      </c>
    </row>
    <row r="12" spans="1:7">
      <c r="A12">
        <f>A10-A11</f>
        <v>0.82500000000000018</v>
      </c>
      <c r="B12" t="s">
        <v>5</v>
      </c>
    </row>
    <row r="13" spans="1:7">
      <c r="A13" s="3">
        <f>STDEV(A4:A7)</f>
        <v>1.8062391868188437</v>
      </c>
      <c r="B13" t="s">
        <v>2</v>
      </c>
    </row>
    <row r="14" spans="1:7">
      <c r="A14" s="12">
        <f>A12/(A13/SQRT(A9))</f>
        <v>0.91350027839114023</v>
      </c>
      <c r="B14" s="2" t="s">
        <v>6</v>
      </c>
    </row>
    <row r="15" spans="1:7">
      <c r="A15" s="9"/>
      <c r="B15" s="2"/>
    </row>
    <row r="16" spans="1:7">
      <c r="A16" s="9" t="s">
        <v>64</v>
      </c>
      <c r="B16" s="2"/>
      <c r="C16" s="21">
        <f>A10-C19*A13/SQRT(A9)</f>
        <v>2.9508703870832442</v>
      </c>
      <c r="D16" t="s">
        <v>38</v>
      </c>
      <c r="F16" s="21">
        <f>A10-C20*A13/SQRT(A9)</f>
        <v>0.54996035932427123</v>
      </c>
      <c r="G16" t="s">
        <v>39</v>
      </c>
    </row>
    <row r="17" spans="1:7">
      <c r="A17" s="9"/>
      <c r="B17" s="2"/>
      <c r="C17" s="21">
        <f>A10+C19*A13/SQRT(A9)</f>
        <v>8.6991296129167566</v>
      </c>
      <c r="D17" t="s">
        <v>37</v>
      </c>
      <c r="F17" s="21">
        <f>A10+C20*A13/SQRT(A9)</f>
        <v>11.100039640675728</v>
      </c>
      <c r="G17" t="s">
        <v>40</v>
      </c>
    </row>
    <row r="18" spans="1:7">
      <c r="B18" s="2" t="s">
        <v>4</v>
      </c>
    </row>
    <row r="19" spans="1:7">
      <c r="A19" s="9" t="s">
        <v>67</v>
      </c>
      <c r="B19" s="8" t="s">
        <v>70</v>
      </c>
      <c r="C19" s="10">
        <f>TINV(0.05,$A$9-1)</f>
        <v>3.1824463048868799</v>
      </c>
    </row>
    <row r="20" spans="1:7">
      <c r="A20" s="9"/>
      <c r="B20" s="8" t="s">
        <v>71</v>
      </c>
      <c r="C20" s="10">
        <f>TINV(0.01,$A$9-1)</f>
        <v>5.8409093094322149</v>
      </c>
    </row>
    <row r="21" spans="1:7">
      <c r="A21" s="9"/>
      <c r="B21" s="8"/>
    </row>
    <row r="22" spans="1:7">
      <c r="A22" s="9" t="s">
        <v>68</v>
      </c>
      <c r="B22" s="8" t="s">
        <v>70</v>
      </c>
      <c r="C22" s="10">
        <f>TINV(2*0.05,$A$9-1)</f>
        <v>2.353363434533132</v>
      </c>
    </row>
    <row r="23" spans="1:7">
      <c r="A23" s="8"/>
      <c r="B23" s="8" t="s">
        <v>71</v>
      </c>
      <c r="C23" s="10">
        <f>TINV(2*0.01,$A$9-1)</f>
        <v>4.5407028584215041</v>
      </c>
    </row>
    <row r="25" spans="1:7">
      <c r="A25" s="9" t="s">
        <v>69</v>
      </c>
      <c r="B25" s="9" t="s">
        <v>67</v>
      </c>
      <c r="C25" s="12">
        <f>TDIST(A14,A9-1,2)</f>
        <v>0.42833725153971447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zoomScale="125" workbookViewId="0"/>
  </sheetViews>
  <sheetFormatPr defaultRowHeight="12.75"/>
  <cols>
    <col min="1" max="1" width="26" customWidth="1"/>
    <col min="2" max="2" width="9.5703125" bestFit="1" customWidth="1"/>
    <col min="3" max="3" width="11.28515625" bestFit="1" customWidth="1"/>
  </cols>
  <sheetData>
    <row r="1" spans="1:7" ht="15.75">
      <c r="A1" s="14" t="s">
        <v>59</v>
      </c>
    </row>
    <row r="2" spans="1:7">
      <c r="A2" t="s">
        <v>4</v>
      </c>
    </row>
    <row r="3" spans="1:7">
      <c r="A3" s="4" t="s">
        <v>7</v>
      </c>
      <c r="B3" s="4" t="s">
        <v>8</v>
      </c>
      <c r="C3" s="4" t="s">
        <v>5</v>
      </c>
    </row>
    <row r="4" spans="1:7">
      <c r="A4" s="2">
        <v>4.5999999999999996</v>
      </c>
      <c r="B4" s="20">
        <v>5</v>
      </c>
      <c r="C4">
        <f>B4-A4</f>
        <v>0.40000000000000036</v>
      </c>
    </row>
    <row r="5" spans="1:7">
      <c r="A5" s="2">
        <v>8.5</v>
      </c>
      <c r="B5" s="20">
        <v>9</v>
      </c>
      <c r="C5">
        <f>B5-A5</f>
        <v>0.5</v>
      </c>
    </row>
    <row r="6" spans="1:7">
      <c r="A6" s="2">
        <v>4.9000000000000004</v>
      </c>
      <c r="B6" s="20">
        <v>5</v>
      </c>
      <c r="C6">
        <f>B6-A6</f>
        <v>9.9999999999999645E-2</v>
      </c>
    </row>
    <row r="7" spans="1:7">
      <c r="A7" s="2">
        <v>5.3</v>
      </c>
      <c r="B7" s="20">
        <v>6</v>
      </c>
      <c r="C7">
        <f>B7-A7</f>
        <v>0.70000000000000018</v>
      </c>
    </row>
    <row r="8" spans="1:7">
      <c r="C8">
        <f>COUNTA(C4:C7)</f>
        <v>4</v>
      </c>
      <c r="D8" t="s">
        <v>0</v>
      </c>
    </row>
    <row r="9" spans="1:7">
      <c r="C9">
        <f>AVERAGE(C4:C7)</f>
        <v>0.42500000000000004</v>
      </c>
    </row>
    <row r="10" spans="1:7" ht="15.75">
      <c r="C10" s="2">
        <f>STDEV(C4:C7)</f>
        <v>0.25000000000000022</v>
      </c>
      <c r="D10" s="2" t="s">
        <v>9</v>
      </c>
    </row>
    <row r="11" spans="1:7" ht="15.75">
      <c r="C11" s="11">
        <f>C9/(C10/SQRT(C8))</f>
        <v>3.3999999999999972</v>
      </c>
      <c r="D11" s="2" t="s">
        <v>10</v>
      </c>
    </row>
    <row r="13" spans="1:7">
      <c r="A13" s="9" t="s">
        <v>64</v>
      </c>
      <c r="B13" s="2"/>
      <c r="C13" s="21">
        <f>C9-C16*C10/SQRT(C8)</f>
        <v>2.719421188913973E-2</v>
      </c>
      <c r="D13" t="s">
        <v>38</v>
      </c>
      <c r="F13" s="21">
        <f>C9-C17*C10/SQRT(C8)</f>
        <v>-0.30511366367902748</v>
      </c>
      <c r="G13" t="s">
        <v>39</v>
      </c>
    </row>
    <row r="14" spans="1:7">
      <c r="A14" s="9"/>
      <c r="B14" s="2"/>
      <c r="C14" s="21">
        <f>C9+C16*C10/SQRT(C8)</f>
        <v>0.82280578811086036</v>
      </c>
      <c r="D14" t="s">
        <v>37</v>
      </c>
      <c r="F14" s="21">
        <f>C9+C17*C10/SQRT(C8)</f>
        <v>1.1551136636790276</v>
      </c>
      <c r="G14" t="s">
        <v>40</v>
      </c>
    </row>
    <row r="15" spans="1:7">
      <c r="D15" s="8"/>
    </row>
    <row r="16" spans="1:7">
      <c r="A16" s="9" t="s">
        <v>67</v>
      </c>
      <c r="B16" s="8" t="s">
        <v>70</v>
      </c>
      <c r="C16" s="10">
        <f>TINV(0.05,$C$8-1)</f>
        <v>3.1824463048868799</v>
      </c>
      <c r="D16" s="8"/>
    </row>
    <row r="17" spans="1:4">
      <c r="A17" s="9"/>
      <c r="B17" s="8" t="s">
        <v>71</v>
      </c>
      <c r="C17" s="10">
        <f>TINV(0.01,$C$8-1)</f>
        <v>5.8409093094322149</v>
      </c>
      <c r="D17" s="8"/>
    </row>
    <row r="18" spans="1:4">
      <c r="A18" s="9"/>
      <c r="B18" s="8"/>
      <c r="D18" s="8"/>
    </row>
    <row r="19" spans="1:4">
      <c r="A19" s="9" t="s">
        <v>68</v>
      </c>
      <c r="B19" s="8" t="s">
        <v>70</v>
      </c>
      <c r="C19" s="10">
        <f>TINV(2*0.05,$C$8-1)</f>
        <v>2.353363434533132</v>
      </c>
      <c r="D19" s="8"/>
    </row>
    <row r="20" spans="1:4">
      <c r="A20" s="8"/>
      <c r="B20" s="8" t="s">
        <v>71</v>
      </c>
      <c r="C20" s="10">
        <f>TINV(2*0.01,$C$8-1)</f>
        <v>4.5407028584215041</v>
      </c>
      <c r="D20" s="8"/>
    </row>
    <row r="23" spans="1:4">
      <c r="A23" t="s">
        <v>20</v>
      </c>
    </row>
    <row r="24" spans="1:4" ht="13.5" thickBot="1"/>
    <row r="25" spans="1:4">
      <c r="A25" s="18"/>
      <c r="B25" s="18" t="s">
        <v>7</v>
      </c>
      <c r="C25" s="18" t="s">
        <v>8</v>
      </c>
    </row>
    <row r="26" spans="1:4">
      <c r="A26" s="16" t="s">
        <v>19</v>
      </c>
      <c r="B26" s="16">
        <v>5.8250000000000002</v>
      </c>
      <c r="C26" s="16">
        <v>6.25</v>
      </c>
    </row>
    <row r="27" spans="1:4">
      <c r="A27" s="16" t="s">
        <v>21</v>
      </c>
      <c r="B27" s="16">
        <v>3.2625000000000002</v>
      </c>
      <c r="C27" s="16">
        <v>3.5833333333333335</v>
      </c>
    </row>
    <row r="28" spans="1:4">
      <c r="A28" s="16" t="s">
        <v>22</v>
      </c>
      <c r="B28" s="16">
        <v>4</v>
      </c>
      <c r="C28" s="16">
        <v>4</v>
      </c>
    </row>
    <row r="29" spans="1:4">
      <c r="A29" s="16" t="s">
        <v>23</v>
      </c>
      <c r="B29" s="16">
        <v>0.99196031591376743</v>
      </c>
      <c r="C29" s="16"/>
    </row>
    <row r="30" spans="1:4">
      <c r="A30" s="16" t="s">
        <v>24</v>
      </c>
      <c r="B30" s="16">
        <v>0</v>
      </c>
      <c r="C30" s="16"/>
    </row>
    <row r="31" spans="1:4">
      <c r="A31" s="16" t="s">
        <v>17</v>
      </c>
      <c r="B31" s="16">
        <v>3</v>
      </c>
      <c r="C31" s="16"/>
    </row>
    <row r="32" spans="1:4">
      <c r="A32" s="16" t="s">
        <v>25</v>
      </c>
      <c r="B32" s="16">
        <v>-3.4</v>
      </c>
      <c r="C32" s="16"/>
    </row>
    <row r="33" spans="1:3">
      <c r="A33" s="16" t="s">
        <v>26</v>
      </c>
      <c r="B33" s="16">
        <v>2.1230661749324514E-2</v>
      </c>
      <c r="C33" s="16"/>
    </row>
    <row r="34" spans="1:3">
      <c r="A34" s="16" t="s">
        <v>27</v>
      </c>
      <c r="B34" s="16">
        <v>2.3533630155725405</v>
      </c>
      <c r="C34" s="16"/>
    </row>
    <row r="35" spans="1:3">
      <c r="A35" s="16" t="s">
        <v>28</v>
      </c>
      <c r="B35" s="16">
        <v>4.2461323498649027E-2</v>
      </c>
      <c r="C35" s="16"/>
    </row>
    <row r="36" spans="1:3" ht="13.5" thickBot="1">
      <c r="A36" s="17" t="s">
        <v>29</v>
      </c>
      <c r="B36" s="17">
        <v>3.1824492907617241</v>
      </c>
      <c r="C36" s="17"/>
    </row>
  </sheetData>
  <phoneticPr fontId="0" type="noConversion"/>
  <pageMargins left="0.75" right="0.75" top="1" bottom="1" header="0.5" footer="0.5"/>
  <headerFooter alignWithMargins="0"/>
  <legacyDrawing r:id="rId1"/>
  <oleObjects>
    <oleObject progId="Word.Picture.8" shapeId="3073" r:id="rId2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G38"/>
  <sheetViews>
    <sheetView zoomScale="125" workbookViewId="0">
      <selection activeCell="A3" sqref="A3"/>
    </sheetView>
  </sheetViews>
  <sheetFormatPr defaultRowHeight="12.75"/>
  <cols>
    <col min="1" max="1" width="26.5703125" customWidth="1"/>
    <col min="2" max="2" width="9.5703125" bestFit="1" customWidth="1"/>
    <col min="3" max="3" width="12" bestFit="1" customWidth="1"/>
  </cols>
  <sheetData>
    <row r="1" spans="1:7" ht="15.75">
      <c r="A1" s="14" t="s">
        <v>60</v>
      </c>
    </row>
    <row r="2" spans="1:7">
      <c r="A2" t="s">
        <v>4</v>
      </c>
    </row>
    <row r="3" spans="1:7">
      <c r="A3" s="4" t="s">
        <v>72</v>
      </c>
      <c r="B3" t="s">
        <v>73</v>
      </c>
      <c r="D3" t="s">
        <v>4</v>
      </c>
    </row>
    <row r="4" spans="1:7">
      <c r="A4">
        <v>3.6</v>
      </c>
      <c r="B4">
        <v>4.5999999999999996</v>
      </c>
    </row>
    <row r="5" spans="1:7">
      <c r="A5">
        <v>4.5</v>
      </c>
      <c r="B5">
        <v>5.2</v>
      </c>
    </row>
    <row r="6" spans="1:7">
      <c r="A6">
        <v>3.9</v>
      </c>
      <c r="B6">
        <v>4.9000000000000004</v>
      </c>
    </row>
    <row r="7" spans="1:7">
      <c r="A7">
        <v>4.3</v>
      </c>
    </row>
    <row r="8" spans="1:7">
      <c r="A8">
        <f>AVERAGE(A4:A7)</f>
        <v>4.0750000000000002</v>
      </c>
      <c r="B8">
        <f>AVERAGE(B4:B7)</f>
        <v>4.9000000000000004</v>
      </c>
    </row>
    <row r="9" spans="1:7" ht="14.25">
      <c r="A9">
        <f>COUNTA(A4:A7)</f>
        <v>4</v>
      </c>
      <c r="B9">
        <f>COUNTA(B4:B7)</f>
        <v>3</v>
      </c>
      <c r="D9" s="5" t="s">
        <v>11</v>
      </c>
    </row>
    <row r="10" spans="1:7" ht="14.25">
      <c r="A10" s="13">
        <f>STDEV(A4:A7)</f>
        <v>0.40311288741492635</v>
      </c>
      <c r="B10">
        <f>STDEV(B4:B7)</f>
        <v>0.29999999999999383</v>
      </c>
      <c r="D10" s="5" t="s">
        <v>12</v>
      </c>
    </row>
    <row r="11" spans="1:7" ht="14.25">
      <c r="C11" s="13">
        <f>SQRT(((A9-1)*A10^2+(B9-1)*B10^2)/(A9+B9-2))</f>
        <v>0.36537651812889943</v>
      </c>
      <c r="D11" s="5" t="s">
        <v>13</v>
      </c>
    </row>
    <row r="12" spans="1:7" ht="15.75">
      <c r="C12" s="12">
        <f>(B8-A8)/(C11*SQRT(1/A9+1/B9))</f>
        <v>2.9563436703589465</v>
      </c>
      <c r="D12" s="2" t="s">
        <v>10</v>
      </c>
    </row>
    <row r="13" spans="1:7">
      <c r="C13">
        <f>A8-B8</f>
        <v>-0.82500000000000018</v>
      </c>
    </row>
    <row r="15" spans="1:7">
      <c r="A15" s="9" t="s">
        <v>64</v>
      </c>
      <c r="B15" s="2"/>
      <c r="C15" s="21">
        <f>C13-C18*C11*SQRT(1/A9+1/B9)</f>
        <v>-1.5423489452151489</v>
      </c>
      <c r="D15" t="s">
        <v>38</v>
      </c>
      <c r="F15" s="21">
        <f>C13-C19*C11*SQRT(1/A9+1/B9)</f>
        <v>-1.9502135516622241</v>
      </c>
      <c r="G15" t="s">
        <v>39</v>
      </c>
    </row>
    <row r="16" spans="1:7">
      <c r="A16" s="9"/>
      <c r="B16" s="2"/>
      <c r="C16" s="21">
        <f>C13+C18*C11*SQRT(1/A9+1/B9)</f>
        <v>-0.1076510547848516</v>
      </c>
      <c r="D16" t="s">
        <v>37</v>
      </c>
      <c r="F16" s="21">
        <f>C13+C19*C11*SQRT(1/A9+1/B9)</f>
        <v>0.30021355166222374</v>
      </c>
      <c r="G16" t="s">
        <v>40</v>
      </c>
    </row>
    <row r="18" spans="1:3">
      <c r="A18" s="9" t="s">
        <v>67</v>
      </c>
      <c r="B18" s="8" t="s">
        <v>70</v>
      </c>
      <c r="C18" s="10">
        <f>TINV(0.05,$A$9+$B$9-2)</f>
        <v>2.5705818346975402</v>
      </c>
    </row>
    <row r="19" spans="1:3">
      <c r="A19" s="9"/>
      <c r="B19" s="8" t="s">
        <v>71</v>
      </c>
      <c r="C19" s="10">
        <f>TINV(0.01,$A$9+$B$9-2)</f>
        <v>4.032142983343908</v>
      </c>
    </row>
    <row r="20" spans="1:3">
      <c r="A20" s="9"/>
      <c r="B20" s="8"/>
    </row>
    <row r="21" spans="1:3">
      <c r="A21" s="9" t="s">
        <v>68</v>
      </c>
      <c r="B21" s="8" t="s">
        <v>70</v>
      </c>
      <c r="C21" s="10">
        <f>TINV(2*0.05,$A$9+$B$9-2)</f>
        <v>2.0150483720881205</v>
      </c>
    </row>
    <row r="22" spans="1:3">
      <c r="A22" s="8"/>
      <c r="B22" s="8" t="s">
        <v>71</v>
      </c>
      <c r="C22" s="10">
        <f>TINV(2*0.01,$A$9+$B$9-2)</f>
        <v>3.3649299973503766</v>
      </c>
    </row>
    <row r="25" spans="1:3">
      <c r="A25" t="s">
        <v>30</v>
      </c>
    </row>
    <row r="26" spans="1:3" ht="13.5" thickBot="1"/>
    <row r="27" spans="1:3">
      <c r="A27" s="18"/>
      <c r="B27" s="18" t="s">
        <v>72</v>
      </c>
      <c r="C27" s="18" t="s">
        <v>73</v>
      </c>
    </row>
    <row r="28" spans="1:3">
      <c r="A28" s="16" t="s">
        <v>19</v>
      </c>
      <c r="B28" s="16">
        <v>4.0750000000000002</v>
      </c>
      <c r="C28" s="16">
        <v>4.9000000000000004</v>
      </c>
    </row>
    <row r="29" spans="1:3">
      <c r="A29" s="16" t="s">
        <v>21</v>
      </c>
      <c r="B29" s="16">
        <v>0.16249999999999906</v>
      </c>
      <c r="C29" s="16">
        <v>8.9999999999996305E-2</v>
      </c>
    </row>
    <row r="30" spans="1:3">
      <c r="A30" s="16" t="s">
        <v>22</v>
      </c>
      <c r="B30" s="16">
        <v>4</v>
      </c>
      <c r="C30" s="16">
        <v>3</v>
      </c>
    </row>
    <row r="31" spans="1:3">
      <c r="A31" s="16" t="s">
        <v>31</v>
      </c>
      <c r="B31" s="16">
        <v>0.13349999999999795</v>
      </c>
      <c r="C31" s="16"/>
    </row>
    <row r="32" spans="1:3">
      <c r="A32" s="16" t="s">
        <v>24</v>
      </c>
      <c r="B32" s="16">
        <v>0</v>
      </c>
      <c r="C32" s="16"/>
    </row>
    <row r="33" spans="1:3">
      <c r="A33" s="16" t="s">
        <v>17</v>
      </c>
      <c r="B33" s="16">
        <v>5</v>
      </c>
      <c r="C33" s="16"/>
    </row>
    <row r="34" spans="1:3">
      <c r="A34" s="16" t="s">
        <v>25</v>
      </c>
      <c r="B34" s="16">
        <v>-2.9563436703589465</v>
      </c>
      <c r="C34" s="16"/>
    </row>
    <row r="35" spans="1:3">
      <c r="A35" s="16" t="s">
        <v>26</v>
      </c>
      <c r="B35" s="16">
        <v>1.5826173867640271E-2</v>
      </c>
      <c r="C35" s="16"/>
    </row>
    <row r="36" spans="1:3">
      <c r="A36" s="16" t="s">
        <v>27</v>
      </c>
      <c r="B36" s="16">
        <v>2.0150491764070466</v>
      </c>
      <c r="C36" s="16"/>
    </row>
    <row r="37" spans="1:3">
      <c r="A37" s="16" t="s">
        <v>28</v>
      </c>
      <c r="B37" s="16">
        <v>3.1652347735280542E-2</v>
      </c>
      <c r="C37" s="16"/>
    </row>
    <row r="38" spans="1:3" ht="13.5" thickBot="1">
      <c r="A38" s="17" t="s">
        <v>29</v>
      </c>
      <c r="B38" s="17">
        <v>2.5705776351969689</v>
      </c>
      <c r="C38" s="17"/>
    </row>
  </sheetData>
  <phoneticPr fontId="0" type="noConversion"/>
  <pageMargins left="0.75" right="0.75" top="1" bottom="1" header="0.5" footer="0.5"/>
  <headerFooter alignWithMargins="0"/>
  <legacyDrawing r:id="rId1"/>
  <oleObjects>
    <oleObject progId="Word.Picture.8" shapeId="4097" r:id="rId2"/>
    <oleObject progId="Equation.3" shapeId="4099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G38"/>
  <sheetViews>
    <sheetView zoomScale="125" workbookViewId="0"/>
  </sheetViews>
  <sheetFormatPr defaultRowHeight="12.75"/>
  <cols>
    <col min="1" max="1" width="26" customWidth="1"/>
    <col min="2" max="2" width="9.5703125" bestFit="1" customWidth="1"/>
    <col min="3" max="3" width="12" bestFit="1" customWidth="1"/>
  </cols>
  <sheetData>
    <row r="1" spans="1:7" ht="15.75">
      <c r="A1" s="14" t="s">
        <v>61</v>
      </c>
    </row>
    <row r="2" spans="1:7">
      <c r="A2" t="s">
        <v>4</v>
      </c>
    </row>
    <row r="3" spans="1:7">
      <c r="A3" t="s">
        <v>72</v>
      </c>
      <c r="B3" t="s">
        <v>73</v>
      </c>
      <c r="D3" t="s">
        <v>4</v>
      </c>
    </row>
    <row r="4" spans="1:7">
      <c r="A4">
        <v>3.6</v>
      </c>
      <c r="B4">
        <v>4.5999999999999996</v>
      </c>
    </row>
    <row r="5" spans="1:7">
      <c r="A5">
        <v>4.5</v>
      </c>
      <c r="B5">
        <v>5.2</v>
      </c>
    </row>
    <row r="6" spans="1:7">
      <c r="A6">
        <v>3.9</v>
      </c>
      <c r="B6">
        <v>4.9000000000000004</v>
      </c>
    </row>
    <row r="7" spans="1:7">
      <c r="A7">
        <v>4.3</v>
      </c>
    </row>
    <row r="8" spans="1:7">
      <c r="A8">
        <f>AVERAGE(A4:A7)</f>
        <v>4.0750000000000002</v>
      </c>
      <c r="B8">
        <f>AVERAGE(B4:B7)</f>
        <v>4.9000000000000004</v>
      </c>
    </row>
    <row r="9" spans="1:7" ht="14.25">
      <c r="A9">
        <f>COUNTA(A4:A7)</f>
        <v>4</v>
      </c>
      <c r="B9">
        <f>COUNTA(B4:B7)</f>
        <v>3</v>
      </c>
      <c r="D9" s="5" t="s">
        <v>11</v>
      </c>
    </row>
    <row r="10" spans="1:7" ht="14.25">
      <c r="A10" s="13">
        <f>STDEV(A4:A7)</f>
        <v>0.40311288741492635</v>
      </c>
      <c r="B10">
        <f>STDEV(B4:B7)</f>
        <v>0.29999999999999383</v>
      </c>
      <c r="D10" s="5" t="s">
        <v>12</v>
      </c>
    </row>
    <row r="11" spans="1:7">
      <c r="D11" s="5"/>
    </row>
    <row r="12" spans="1:7" ht="15.75">
      <c r="C12" s="12">
        <f>(B8-A8)/(SQRT(A10^2/A9+B10^2/B9))</f>
        <v>3.1043788656659039</v>
      </c>
      <c r="D12" s="2" t="s">
        <v>10</v>
      </c>
    </row>
    <row r="13" spans="1:7">
      <c r="C13" s="3">
        <f>(A10^2/A9+B10^2/B9)^2/((A10^2/A9)^2/(A9-1)+(B10^2/B9)^2/(B9-1))</f>
        <v>4.9872412446296153</v>
      </c>
      <c r="D13" s="5" t="s">
        <v>17</v>
      </c>
    </row>
    <row r="14" spans="1:7">
      <c r="C14">
        <f>A8-B8</f>
        <v>-0.82500000000000018</v>
      </c>
    </row>
    <row r="16" spans="1:7">
      <c r="A16" s="9" t="s">
        <v>64</v>
      </c>
      <c r="B16" s="2"/>
      <c r="C16" s="21">
        <f>C14-C19*SQRT(A10^2/A9+B10^2/B9)</f>
        <v>-1.5628504076917173</v>
      </c>
      <c r="D16" t="s">
        <v>38</v>
      </c>
      <c r="F16" s="21">
        <f>C14-C20*SQRT(A10^2/A9+B10^2/B9)</f>
        <v>-2.0485549954215512</v>
      </c>
      <c r="G16" t="s">
        <v>39</v>
      </c>
    </row>
    <row r="17" spans="1:7">
      <c r="A17" s="9"/>
      <c r="B17" s="2"/>
      <c r="C17" s="21">
        <f>C14+C19*SQRT(A10^2/A9+B10^2/B9)</f>
        <v>-8.7149592308283008E-2</v>
      </c>
      <c r="D17" t="s">
        <v>37</v>
      </c>
      <c r="F17" s="21">
        <f>C14+C20*SQRT(A10^2/A9+B10^2/B9)</f>
        <v>0.39855499542155082</v>
      </c>
      <c r="G17" t="s">
        <v>40</v>
      </c>
    </row>
    <row r="19" spans="1:7">
      <c r="A19" s="9" t="s">
        <v>67</v>
      </c>
      <c r="B19" s="8" t="s">
        <v>70</v>
      </c>
      <c r="C19" s="10">
        <f>TINV(0.05,C13)</f>
        <v>2.7764451050438028</v>
      </c>
    </row>
    <row r="20" spans="1:7">
      <c r="A20" s="9"/>
      <c r="B20" s="8" t="s">
        <v>71</v>
      </c>
      <c r="C20" s="10">
        <f>TINV(0.01,C13)</f>
        <v>4.6040948712322471</v>
      </c>
    </row>
    <row r="21" spans="1:7">
      <c r="A21" s="9"/>
      <c r="B21" s="8"/>
    </row>
    <row r="22" spans="1:7">
      <c r="A22" s="9" t="s">
        <v>68</v>
      </c>
      <c r="B22" s="8" t="s">
        <v>70</v>
      </c>
      <c r="C22" s="10">
        <f>TINV(2*0.05,C13)</f>
        <v>2.1318467819039775</v>
      </c>
    </row>
    <row r="23" spans="1:7">
      <c r="A23" s="8"/>
      <c r="B23" s="8" t="s">
        <v>71</v>
      </c>
      <c r="C23" s="10">
        <f>TINV(2*0.01,C13)</f>
        <v>3.7469473877564807</v>
      </c>
    </row>
    <row r="26" spans="1:7">
      <c r="A26" t="s">
        <v>32</v>
      </c>
    </row>
    <row r="27" spans="1:7" ht="13.5" thickBot="1"/>
    <row r="28" spans="1:7">
      <c r="A28" s="18"/>
      <c r="B28" s="18" t="s">
        <v>72</v>
      </c>
      <c r="C28" s="18" t="s">
        <v>73</v>
      </c>
    </row>
    <row r="29" spans="1:7">
      <c r="A29" s="16" t="s">
        <v>19</v>
      </c>
      <c r="B29" s="16">
        <v>4.0750000000000002</v>
      </c>
      <c r="C29" s="16">
        <v>4.9000000000000004</v>
      </c>
    </row>
    <row r="30" spans="1:7">
      <c r="A30" s="16" t="s">
        <v>21</v>
      </c>
      <c r="B30" s="16">
        <v>0.16249999999999906</v>
      </c>
      <c r="C30" s="16">
        <v>8.9999999999996305E-2</v>
      </c>
    </row>
    <row r="31" spans="1:7">
      <c r="A31" s="16" t="s">
        <v>22</v>
      </c>
      <c r="B31" s="16">
        <v>4</v>
      </c>
      <c r="C31" s="16">
        <v>3</v>
      </c>
    </row>
    <row r="32" spans="1:7">
      <c r="A32" s="16" t="s">
        <v>24</v>
      </c>
      <c r="B32" s="16">
        <v>0</v>
      </c>
      <c r="C32" s="16"/>
    </row>
    <row r="33" spans="1:3">
      <c r="A33" s="16" t="s">
        <v>17</v>
      </c>
      <c r="B33" s="16">
        <v>5</v>
      </c>
      <c r="C33" s="16"/>
    </row>
    <row r="34" spans="1:3">
      <c r="A34" s="16" t="s">
        <v>25</v>
      </c>
      <c r="B34" s="16">
        <v>-3.1043788656659039</v>
      </c>
      <c r="C34" s="16"/>
    </row>
    <row r="35" spans="1:3">
      <c r="A35" s="16" t="s">
        <v>26</v>
      </c>
      <c r="B35" s="16">
        <v>1.3360149733542223E-2</v>
      </c>
      <c r="C35" s="16"/>
    </row>
    <row r="36" spans="1:3">
      <c r="A36" s="16" t="s">
        <v>27</v>
      </c>
      <c r="B36" s="16">
        <v>2.0150491764070466</v>
      </c>
      <c r="C36" s="16"/>
    </row>
    <row r="37" spans="1:3">
      <c r="A37" s="16" t="s">
        <v>28</v>
      </c>
      <c r="B37" s="16">
        <v>2.6720299467084447E-2</v>
      </c>
      <c r="C37" s="16"/>
    </row>
    <row r="38" spans="1:3" ht="13.5" thickBot="1">
      <c r="A38" s="17" t="s">
        <v>29</v>
      </c>
      <c r="B38" s="17">
        <v>2.5705776351969689</v>
      </c>
      <c r="C38" s="17"/>
    </row>
  </sheetData>
  <phoneticPr fontId="0" type="noConversion"/>
  <pageMargins left="0.75" right="0.75" top="1" bottom="1" header="0.5" footer="0.5"/>
  <headerFooter alignWithMargins="0"/>
  <legacyDrawing r:id="rId1"/>
  <oleObjects>
    <oleObject progId="Word.Picture.8" shapeId="5121" r:id="rId2"/>
    <oleObject progId="Equation.3" shapeId="5122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zoomScale="125" workbookViewId="0"/>
  </sheetViews>
  <sheetFormatPr defaultRowHeight="12.75"/>
  <cols>
    <col min="1" max="1" width="27.42578125" bestFit="1" customWidth="1"/>
    <col min="2" max="2" width="13.5703125" bestFit="1" customWidth="1"/>
  </cols>
  <sheetData>
    <row r="1" spans="1:7" ht="15.75">
      <c r="A1" s="14" t="s">
        <v>62</v>
      </c>
    </row>
    <row r="2" spans="1:7">
      <c r="A2" t="s">
        <v>4</v>
      </c>
    </row>
    <row r="3" spans="1:7">
      <c r="A3" s="4" t="s">
        <v>18</v>
      </c>
    </row>
    <row r="4" spans="1:7">
      <c r="A4">
        <v>4.5999999999999996</v>
      </c>
    </row>
    <row r="5" spans="1:7">
      <c r="A5">
        <v>8.5</v>
      </c>
    </row>
    <row r="6" spans="1:7">
      <c r="A6">
        <v>4.9000000000000004</v>
      </c>
    </row>
    <row r="7" spans="1:7">
      <c r="A7">
        <v>5.3</v>
      </c>
    </row>
    <row r="9" spans="1:7">
      <c r="A9">
        <f>COUNTA(A4:A7)</f>
        <v>4</v>
      </c>
      <c r="B9" t="s">
        <v>0</v>
      </c>
    </row>
    <row r="10" spans="1:7">
      <c r="A10">
        <f>AVERAGE(A4:A7)</f>
        <v>5.8250000000000002</v>
      </c>
    </row>
    <row r="11" spans="1:7">
      <c r="A11">
        <f>STDEV(A4:A7)</f>
        <v>1.8062391868188437</v>
      </c>
      <c r="B11" s="2" t="s">
        <v>2</v>
      </c>
    </row>
    <row r="12" spans="1:7" ht="19.5">
      <c r="A12">
        <v>1.5</v>
      </c>
      <c r="B12" s="1" t="s">
        <v>14</v>
      </c>
      <c r="C12">
        <f>A12^2</f>
        <v>2.25</v>
      </c>
      <c r="D12" s="22" t="s">
        <v>43</v>
      </c>
    </row>
    <row r="13" spans="1:7" ht="16.5">
      <c r="A13" s="11">
        <f>(A9-1)*A11^2/A12^2</f>
        <v>4.349999999999997</v>
      </c>
      <c r="B13" s="1" t="s">
        <v>15</v>
      </c>
      <c r="C13" s="9"/>
      <c r="D13" s="6"/>
    </row>
    <row r="14" spans="1:7">
      <c r="A14" s="1"/>
      <c r="B14" s="1"/>
      <c r="C14" s="9"/>
      <c r="D14" s="6"/>
    </row>
    <row r="15" spans="1:7">
      <c r="A15" s="9" t="s">
        <v>65</v>
      </c>
      <c r="B15" s="2"/>
      <c r="C15" s="21">
        <f>(A9-1)*A11^2/C20</f>
        <v>1.0469702050320966</v>
      </c>
      <c r="D15" t="s">
        <v>38</v>
      </c>
      <c r="F15" s="21">
        <f>(A9-1)*A11^2/C21</f>
        <v>0.76237581638184926</v>
      </c>
      <c r="G15" t="s">
        <v>39</v>
      </c>
    </row>
    <row r="16" spans="1:7">
      <c r="A16" s="9"/>
      <c r="B16" s="2"/>
      <c r="C16" s="21">
        <f>(A9-1)*A11^2/E20</f>
        <v>45.355486368590874</v>
      </c>
      <c r="D16" t="s">
        <v>37</v>
      </c>
      <c r="F16" s="21">
        <f>(A9-1)*A11^2/E21</f>
        <v>136.4648331219137</v>
      </c>
      <c r="G16" t="s">
        <v>40</v>
      </c>
    </row>
    <row r="17" spans="1:7">
      <c r="A17" s="9" t="s">
        <v>66</v>
      </c>
      <c r="C17" s="23">
        <f>SQRT(C15)</f>
        <v>1.0232156200098279</v>
      </c>
      <c r="D17" t="s">
        <v>38</v>
      </c>
      <c r="F17" s="23">
        <f>SQRT(F15)</f>
        <v>0.87314134960030909</v>
      </c>
      <c r="G17" t="s">
        <v>38</v>
      </c>
    </row>
    <row r="18" spans="1:7">
      <c r="A18" s="9"/>
      <c r="C18" s="23">
        <f>SQRT(C16)</f>
        <v>6.7346481993190164</v>
      </c>
      <c r="D18" t="s">
        <v>37</v>
      </c>
      <c r="F18" s="23">
        <f>SQRT(F16)</f>
        <v>11.68181634515428</v>
      </c>
      <c r="G18" t="s">
        <v>37</v>
      </c>
    </row>
    <row r="19" spans="1:7">
      <c r="A19" s="9"/>
    </row>
    <row r="20" spans="1:7">
      <c r="A20" s="9" t="s">
        <v>67</v>
      </c>
      <c r="B20" s="8" t="s">
        <v>70</v>
      </c>
      <c r="C20" s="10">
        <f>CHIINV(0.05/2,$A$9-1)</f>
        <v>9.3484035677022348</v>
      </c>
      <c r="D20" t="s">
        <v>41</v>
      </c>
      <c r="E20" s="10">
        <f>CHIINV(1-0.05/2,$A$9-1)</f>
        <v>0.21579528263592679</v>
      </c>
      <c r="F20" t="s">
        <v>42</v>
      </c>
    </row>
    <row r="21" spans="1:7">
      <c r="A21" s="9"/>
      <c r="B21" s="8" t="s">
        <v>71</v>
      </c>
      <c r="C21" s="10">
        <f>CHIINV(0.01/2,$A$9-1)</f>
        <v>12.83815644421983</v>
      </c>
      <c r="D21" t="s">
        <v>41</v>
      </c>
      <c r="E21" s="10">
        <f>CHIINV(1-0.01/2,$A$9-1)</f>
        <v>7.1721774585369741E-2</v>
      </c>
      <c r="F21" t="s">
        <v>42</v>
      </c>
    </row>
    <row r="22" spans="1:7">
      <c r="A22" s="9"/>
      <c r="B22" s="8"/>
    </row>
    <row r="23" spans="1:7">
      <c r="A23" s="9" t="s">
        <v>68</v>
      </c>
      <c r="B23" s="8" t="s">
        <v>70</v>
      </c>
      <c r="C23" s="10">
        <f>CHIINV(0.05,$A$9-1)</f>
        <v>7.81472776394987</v>
      </c>
    </row>
    <row r="24" spans="1:7">
      <c r="A24" s="8"/>
      <c r="B24" s="8" t="s">
        <v>71</v>
      </c>
      <c r="C24" s="10">
        <f>CHIINV(0.01,$A$9-1)</f>
        <v>11.344866675161409</v>
      </c>
    </row>
    <row r="26" spans="1:7">
      <c r="A26" s="9" t="s">
        <v>69</v>
      </c>
      <c r="B26" s="9" t="s">
        <v>67</v>
      </c>
      <c r="C26" s="19">
        <f>CHIDIST(A13,A9-1)*2</f>
        <v>0.45213308306296174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4"/>
  <sheetViews>
    <sheetView zoomScale="125" workbookViewId="0">
      <selection activeCell="F13" sqref="F13"/>
    </sheetView>
  </sheetViews>
  <sheetFormatPr defaultRowHeight="12.75"/>
  <cols>
    <col min="1" max="1" width="29.42578125" bestFit="1" customWidth="1"/>
    <col min="2" max="2" width="12.42578125" bestFit="1" customWidth="1"/>
  </cols>
  <sheetData>
    <row r="1" spans="1:7" ht="15.75">
      <c r="A1" s="14" t="s">
        <v>63</v>
      </c>
    </row>
    <row r="2" spans="1:7">
      <c r="A2" t="s">
        <v>4</v>
      </c>
    </row>
    <row r="3" spans="1:7">
      <c r="A3" t="s">
        <v>72</v>
      </c>
      <c r="B3" t="s">
        <v>73</v>
      </c>
      <c r="D3" t="s">
        <v>4</v>
      </c>
    </row>
    <row r="4" spans="1:7">
      <c r="A4">
        <v>3.6</v>
      </c>
      <c r="B4">
        <v>4.5999999999999996</v>
      </c>
    </row>
    <row r="5" spans="1:7">
      <c r="A5">
        <v>4.5</v>
      </c>
      <c r="B5">
        <v>5.2</v>
      </c>
    </row>
    <row r="6" spans="1:7">
      <c r="A6">
        <v>3.9</v>
      </c>
      <c r="B6">
        <v>4.9000000000000004</v>
      </c>
    </row>
    <row r="7" spans="1:7">
      <c r="A7">
        <v>4.3</v>
      </c>
    </row>
    <row r="8" spans="1:7">
      <c r="A8">
        <f>AVERAGE(A4:A7)</f>
        <v>4.0750000000000002</v>
      </c>
      <c r="B8">
        <f>AVERAGE(B4:B7)</f>
        <v>4.9000000000000004</v>
      </c>
    </row>
    <row r="9" spans="1:7" ht="14.25">
      <c r="A9">
        <f>COUNTA(A4:A7)</f>
        <v>4</v>
      </c>
      <c r="B9">
        <f>COUNTA(B4:B7)</f>
        <v>3</v>
      </c>
      <c r="D9" s="5" t="s">
        <v>11</v>
      </c>
    </row>
    <row r="10" spans="1:7" ht="14.25">
      <c r="A10">
        <f>STDEV(A4:A7)</f>
        <v>0.40311288741492635</v>
      </c>
      <c r="B10">
        <f>STDEV(B4:B7)</f>
        <v>0.29999999999999383</v>
      </c>
      <c r="D10" s="5" t="s">
        <v>12</v>
      </c>
      <c r="F10" s="3">
        <f>A10^2/B10^2</f>
        <v>1.8055555555556198</v>
      </c>
    </row>
    <row r="11" spans="1:7" ht="14.25">
      <c r="C11" s="12">
        <f>A10^2/B10^2</f>
        <v>1.8055555555556198</v>
      </c>
      <c r="D11" s="7" t="s">
        <v>16</v>
      </c>
    </row>
    <row r="12" spans="1:7">
      <c r="D12" s="2"/>
      <c r="E12" t="s">
        <v>4</v>
      </c>
    </row>
    <row r="13" spans="1:7">
      <c r="A13" s="9" t="s">
        <v>64</v>
      </c>
      <c r="B13" s="24" t="s">
        <v>4</v>
      </c>
      <c r="C13" s="10">
        <f>F10*C17</f>
        <v>0.11253699690358636</v>
      </c>
      <c r="D13" t="s">
        <v>38</v>
      </c>
      <c r="F13" s="10">
        <f>F10*C18</f>
        <v>3.6256661011008863E-2</v>
      </c>
      <c r="G13" t="s">
        <v>39</v>
      </c>
    </row>
    <row r="14" spans="1:7">
      <c r="A14" s="9"/>
      <c r="B14" s="2"/>
      <c r="C14" s="21">
        <f>F10*D17</f>
        <v>70.715476296316425</v>
      </c>
      <c r="D14" t="s">
        <v>37</v>
      </c>
      <c r="F14" s="25">
        <f>F10*D18</f>
        <v>359.60606248158456</v>
      </c>
      <c r="G14" t="s">
        <v>40</v>
      </c>
    </row>
    <row r="15" spans="1:7">
      <c r="A15" s="9"/>
      <c r="B15" s="2"/>
    </row>
    <row r="16" spans="1:7">
      <c r="C16" s="9" t="s">
        <v>42</v>
      </c>
      <c r="D16" s="9" t="s">
        <v>41</v>
      </c>
    </row>
    <row r="17" spans="1:4">
      <c r="A17" s="9" t="s">
        <v>67</v>
      </c>
      <c r="B17" s="9" t="s">
        <v>70</v>
      </c>
      <c r="C17" s="10">
        <f>1/FINV(0.05/2,$B$9-1,$A$9-1)</f>
        <v>6.232818290044561E-2</v>
      </c>
      <c r="D17" s="10">
        <f>FINV(0.05/2,$A$9-1,$B$9-1)</f>
        <v>39.165494564112322</v>
      </c>
    </row>
    <row r="18" spans="1:4">
      <c r="A18" s="9"/>
      <c r="B18" s="9" t="s">
        <v>71</v>
      </c>
      <c r="C18" s="10">
        <f>1/FINV(0.01/2,$B$9-1,$A$9-1)</f>
        <v>2.0080612252250347E-2</v>
      </c>
      <c r="D18" s="10">
        <f>FINV(0.01/2,$A$9-1,$B$9-1)</f>
        <v>199.16643460517821</v>
      </c>
    </row>
    <row r="19" spans="1:4">
      <c r="A19" s="9"/>
      <c r="B19" s="8"/>
    </row>
    <row r="20" spans="1:4">
      <c r="A20" s="9"/>
      <c r="B20" s="8"/>
      <c r="C20" s="9" t="s">
        <v>42</v>
      </c>
      <c r="D20" s="9" t="s">
        <v>41</v>
      </c>
    </row>
    <row r="21" spans="1:4">
      <c r="A21" s="9" t="s">
        <v>68</v>
      </c>
      <c r="B21" s="9" t="s">
        <v>70</v>
      </c>
      <c r="C21" s="10">
        <f>1/FINV(0.05,$B$9-1,$A$9-1)</f>
        <v>0.10468908158573077</v>
      </c>
      <c r="D21" s="10">
        <f>FINV(0.05,$A$9-1,$B$9-1)</f>
        <v>19.164292127565375</v>
      </c>
    </row>
    <row r="22" spans="1:4">
      <c r="A22" s="8"/>
      <c r="B22" s="9" t="s">
        <v>71</v>
      </c>
      <c r="C22" s="10">
        <f>1/FINV(0.01,$B$9-1,$A$9-1)</f>
        <v>3.2450127030086928E-2</v>
      </c>
      <c r="D22" s="10">
        <f>FINV(0.01,$A$9-1,$B$9-1)</f>
        <v>99.166201374717929</v>
      </c>
    </row>
    <row r="25" spans="1:4">
      <c r="A25" t="s">
        <v>33</v>
      </c>
    </row>
    <row r="26" spans="1:4" ht="13.5" thickBot="1"/>
    <row r="27" spans="1:4">
      <c r="A27" s="18"/>
      <c r="B27" s="18" t="s">
        <v>72</v>
      </c>
      <c r="C27" s="18" t="s">
        <v>73</v>
      </c>
    </row>
    <row r="28" spans="1:4">
      <c r="A28" s="16" t="s">
        <v>19</v>
      </c>
      <c r="B28" s="16">
        <v>4.0750000000000002</v>
      </c>
      <c r="C28" s="16">
        <v>4.9000000000000004</v>
      </c>
    </row>
    <row r="29" spans="1:4">
      <c r="A29" s="16" t="s">
        <v>21</v>
      </c>
      <c r="B29" s="16">
        <v>0.16249999999999906</v>
      </c>
      <c r="C29" s="16">
        <v>8.9999999999996305E-2</v>
      </c>
    </row>
    <row r="30" spans="1:4">
      <c r="A30" s="16" t="s">
        <v>22</v>
      </c>
      <c r="B30" s="16">
        <v>4</v>
      </c>
      <c r="C30" s="16">
        <v>3</v>
      </c>
    </row>
    <row r="31" spans="1:4">
      <c r="A31" s="16" t="s">
        <v>17</v>
      </c>
      <c r="B31" s="16">
        <v>3</v>
      </c>
      <c r="C31" s="16">
        <v>2</v>
      </c>
    </row>
    <row r="32" spans="1:4">
      <c r="A32" s="16" t="s">
        <v>34</v>
      </c>
      <c r="B32" s="16">
        <v>1.8055555555556193</v>
      </c>
      <c r="C32" s="16"/>
    </row>
    <row r="33" spans="1:3">
      <c r="A33" s="16" t="s">
        <v>35</v>
      </c>
      <c r="B33" s="16">
        <v>0.375855676891793</v>
      </c>
      <c r="C33" s="16"/>
    </row>
    <row r="34" spans="1:3" ht="13.5" thickBot="1">
      <c r="A34" s="17" t="s">
        <v>36</v>
      </c>
      <c r="B34" s="17">
        <v>19.164190234732814</v>
      </c>
      <c r="C34" s="17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  <oleObjects>
    <oleObject progId="Word.Picture.8" shapeId="7169" r:id="rId3"/>
    <oleObject progId="Equation.3" shapeId="7170" r:id="rId4"/>
    <oleObject progId="Equation.3" shapeId="7171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Test 1</vt:lpstr>
      <vt:lpstr>Test 2</vt:lpstr>
      <vt:lpstr>Test 3</vt:lpstr>
      <vt:lpstr>Test 4</vt:lpstr>
      <vt:lpstr>Test 5</vt:lpstr>
      <vt:lpstr>Test 6</vt:lpstr>
      <vt:lpstr>Test 7</vt:lpstr>
    </vt:vector>
  </TitlesOfParts>
  <Company>Novo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Birger Stjernholm Madsen</dc:creator>
  <cp:lastModifiedBy>birger.madsen@ofir.dk</cp:lastModifiedBy>
  <dcterms:created xsi:type="dcterms:W3CDTF">2003-11-13T14:51:30Z</dcterms:created>
  <dcterms:modified xsi:type="dcterms:W3CDTF">2017-05-20T09:06:13Z</dcterms:modified>
</cp:coreProperties>
</file>