
<file path=[Content_Types].xml><?xml version="1.0" encoding="utf-8"?>
<Types xmlns="http://schemas.openxmlformats.org/package/2006/content-types">
  <Override PartName="/xl/charts/chart6.xml" ContentType="application/vnd.openxmlformats-officedocument.drawingml.chart+xml"/>
  <Override PartName="/xl/charts/chart20.xml" ContentType="application/vnd.openxmlformats-officedocument.drawingml.char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wmf" ContentType="image/x-wmf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mbeddings/oleObject1.bin" ContentType="application/vnd.openxmlformats-officedocument.oleObject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worksheets/sheet1.xml" ContentType="application/vnd.openxmlformats-officedocument.spreadsheetml.worksheet+xml"/>
  <Default Extension="vml" ContentType="application/vnd.openxmlformats-officedocument.vmlDrawing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docProps/core.xml" ContentType="application/vnd.openxmlformats-package.core-properties+xml"/>
  <Default Extension="bin" ContentType="application/vnd.openxmlformats-officedocument.spreadsheetml.printerSettings"/>
  <Override PartName="/xl/charts/chart7.xml" ContentType="application/vnd.openxmlformats-officedocument.drawingml.chart+xml"/>
  <Override PartName="/xl/charts/chart10.xml" ContentType="application/vnd.openxmlformats-officedocument.drawingml.chart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45" windowWidth="6060" windowHeight="3810" tabRatio="795" activeTab="1"/>
  </bookViews>
  <sheets>
    <sheet name="Data" sheetId="1" r:id="rId1"/>
    <sheet name="Histogram" sheetId="9" r:id="rId2"/>
    <sheet name="Grafer" sheetId="11" r:id="rId3"/>
    <sheet name="Beskrivende" sheetId="6" r:id="rId4"/>
    <sheet name="Funktioner" sheetId="16" r:id="rId5"/>
    <sheet name="Binomialfordeling" sheetId="18" r:id="rId6"/>
    <sheet name="Frekvenstabel 1" sheetId="19" r:id="rId7"/>
    <sheet name="Frekvenstabel 2" sheetId="14" r:id="rId8"/>
    <sheet name="Regression1" sheetId="20" r:id="rId9"/>
    <sheet name="Regression2" sheetId="8" r:id="rId10"/>
    <sheet name="t-test" sheetId="10" r:id="rId11"/>
  </sheets>
  <calcPr calcId="125725"/>
</workbook>
</file>

<file path=xl/calcChain.xml><?xml version="1.0" encoding="utf-8"?>
<calcChain xmlns="http://schemas.openxmlformats.org/spreadsheetml/2006/main">
  <c r="B34" i="6"/>
  <c r="B35"/>
  <c r="B36"/>
  <c r="B5" i="18"/>
  <c r="B6"/>
  <c r="B9"/>
  <c r="B16"/>
  <c r="B17"/>
  <c r="B20"/>
  <c r="C33" i="1"/>
  <c r="D33"/>
  <c r="E33"/>
  <c r="C34"/>
  <c r="D34"/>
  <c r="E34"/>
  <c r="E35"/>
  <c r="E36"/>
  <c r="E37"/>
  <c r="E38"/>
  <c r="E39"/>
  <c r="E40"/>
  <c r="H52"/>
  <c r="H53"/>
  <c r="H54"/>
  <c r="H55"/>
  <c r="H56"/>
  <c r="H57"/>
  <c r="G3" i="19"/>
  <c r="H3"/>
  <c r="G4"/>
  <c r="H4"/>
  <c r="B5"/>
  <c r="C5"/>
  <c r="C9"/>
  <c r="H9"/>
  <c r="L9"/>
  <c r="D5"/>
  <c r="G5"/>
  <c r="I5"/>
  <c r="B9"/>
  <c r="G9"/>
  <c r="K9"/>
  <c r="D11"/>
  <c r="F17"/>
  <c r="J17"/>
  <c r="G17"/>
  <c r="H17"/>
  <c r="K17"/>
  <c r="L17"/>
  <c r="F18"/>
  <c r="G18"/>
  <c r="K18"/>
  <c r="H18"/>
  <c r="L18"/>
  <c r="J18"/>
  <c r="B19"/>
  <c r="F19"/>
  <c r="C19"/>
  <c r="D19"/>
  <c r="G19"/>
  <c r="K19"/>
  <c r="H19"/>
  <c r="L19"/>
  <c r="C7" i="14"/>
  <c r="D7"/>
  <c r="F7"/>
  <c r="E7"/>
  <c r="B3" i="16"/>
  <c r="B4"/>
  <c r="B5"/>
  <c r="B6"/>
  <c r="B7"/>
  <c r="B8"/>
  <c r="B9"/>
  <c r="B10"/>
  <c r="B11"/>
  <c r="B13"/>
  <c r="B12"/>
  <c r="F4" i="11"/>
  <c r="I4"/>
  <c r="J4"/>
  <c r="K4"/>
  <c r="F5"/>
  <c r="I5"/>
  <c r="J5"/>
  <c r="K5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A12" i="9"/>
  <c r="C12"/>
  <c r="A13"/>
  <c r="C13"/>
  <c r="A14"/>
  <c r="C14"/>
  <c r="A15"/>
  <c r="C15"/>
  <c r="A16"/>
  <c r="C16"/>
  <c r="A17"/>
  <c r="C17"/>
  <c r="C2" i="20"/>
  <c r="D2"/>
  <c r="E2"/>
  <c r="C3"/>
  <c r="D3"/>
  <c r="E3"/>
  <c r="C4"/>
  <c r="D4"/>
  <c r="E4"/>
  <c r="E8"/>
  <c r="E9"/>
  <c r="C5"/>
  <c r="D5"/>
  <c r="E5"/>
  <c r="C6"/>
  <c r="D6"/>
  <c r="C7"/>
  <c r="D7"/>
  <c r="C8"/>
  <c r="D8"/>
  <c r="C9"/>
  <c r="D9"/>
  <c r="C10"/>
  <c r="D10"/>
  <c r="C11"/>
  <c r="D11"/>
  <c r="C12"/>
  <c r="D12"/>
  <c r="C13"/>
  <c r="D13"/>
  <c r="C14"/>
  <c r="D14"/>
  <c r="C15"/>
  <c r="D15"/>
  <c r="C16"/>
  <c r="D16"/>
  <c r="C17"/>
  <c r="D17"/>
  <c r="C18"/>
  <c r="D18"/>
  <c r="F4" i="10"/>
  <c r="F5"/>
  <c r="F6"/>
  <c r="F7"/>
  <c r="F8"/>
  <c r="F9"/>
  <c r="F10"/>
  <c r="F11"/>
  <c r="F12"/>
  <c r="F13"/>
  <c r="F14"/>
  <c r="F15"/>
  <c r="F16"/>
  <c r="F17"/>
  <c r="F18"/>
  <c r="F19"/>
  <c r="F20"/>
  <c r="F21"/>
  <c r="F22"/>
  <c r="H22"/>
  <c r="I26"/>
  <c r="I22"/>
  <c r="F23"/>
  <c r="H23"/>
  <c r="H28"/>
  <c r="I23"/>
  <c r="I28"/>
  <c r="F24"/>
  <c r="F25"/>
  <c r="F26"/>
  <c r="H26"/>
  <c r="F27"/>
  <c r="H27"/>
  <c r="I27"/>
  <c r="F28"/>
  <c r="F29"/>
  <c r="F30"/>
  <c r="F31"/>
  <c r="F32"/>
  <c r="F33"/>
  <c r="G37"/>
  <c r="G52"/>
  <c r="G54"/>
  <c r="G38"/>
  <c r="G39"/>
  <c r="G40"/>
  <c r="G41"/>
  <c r="G42"/>
  <c r="G43"/>
  <c r="G44"/>
  <c r="G45"/>
  <c r="G46"/>
  <c r="G47"/>
  <c r="G48"/>
  <c r="G49"/>
  <c r="E52"/>
  <c r="F52"/>
  <c r="J52"/>
  <c r="G53"/>
  <c r="J53"/>
  <c r="E56"/>
  <c r="D12" i="14"/>
  <c r="D14"/>
  <c r="D13"/>
  <c r="E12"/>
  <c r="E14"/>
  <c r="E13"/>
  <c r="C12"/>
  <c r="C13"/>
  <c r="I29" i="10"/>
  <c r="I34"/>
  <c r="I30"/>
  <c r="E6" i="20"/>
  <c r="E18"/>
  <c r="J19" i="19"/>
  <c r="J21"/>
  <c r="B10"/>
  <c r="G10"/>
  <c r="K10"/>
  <c r="M11"/>
  <c r="H5"/>
  <c r="B19" i="18"/>
  <c r="B8"/>
  <c r="C10" i="19"/>
  <c r="H10"/>
  <c r="L10"/>
  <c r="I31" i="10"/>
  <c r="I33"/>
  <c r="I32"/>
  <c r="A13" i="19"/>
  <c r="A14"/>
  <c r="F13" i="14"/>
  <c r="F12"/>
  <c r="F14"/>
  <c r="C14"/>
  <c r="B16"/>
  <c r="B17"/>
</calcChain>
</file>

<file path=xl/sharedStrings.xml><?xml version="1.0" encoding="utf-8"?>
<sst xmlns="http://schemas.openxmlformats.org/spreadsheetml/2006/main" count="524" uniqueCount="173">
  <si>
    <t>M</t>
  </si>
  <si>
    <t>Alder</t>
  </si>
  <si>
    <t>Køn</t>
  </si>
  <si>
    <t>Vægt</t>
  </si>
  <si>
    <t>Højde</t>
  </si>
  <si>
    <t>K</t>
  </si>
  <si>
    <t>Nr.</t>
  </si>
  <si>
    <t>Middelværdi</t>
  </si>
  <si>
    <t>Standardfejl</t>
  </si>
  <si>
    <t>Median</t>
  </si>
  <si>
    <t>Tilstand</t>
  </si>
  <si>
    <t>Standardafvigelse</t>
  </si>
  <si>
    <t>Stikprøvevarians</t>
  </si>
  <si>
    <t>Kurtosis</t>
  </si>
  <si>
    <t>Skævhed</t>
  </si>
  <si>
    <t>Område</t>
  </si>
  <si>
    <t>Minimum</t>
  </si>
  <si>
    <t>Maksimum</t>
  </si>
  <si>
    <t>Sum</t>
  </si>
  <si>
    <t>Antal</t>
  </si>
  <si>
    <t>Konfidensniveau(95,0%)</t>
  </si>
  <si>
    <t>Søjler Højde</t>
  </si>
  <si>
    <t>Søjler Vægt</t>
  </si>
  <si>
    <t>fg</t>
  </si>
  <si>
    <t>SK</t>
  </si>
  <si>
    <t>MK</t>
  </si>
  <si>
    <t>F</t>
  </si>
  <si>
    <t>Signifikans F</t>
  </si>
  <si>
    <t>Koefficienter</t>
  </si>
  <si>
    <t>t-stat</t>
  </si>
  <si>
    <t>P-værdi</t>
  </si>
  <si>
    <t>Nedre 95%</t>
  </si>
  <si>
    <t>Øvre 95%</t>
  </si>
  <si>
    <t>RESIDUALOUTPUT</t>
  </si>
  <si>
    <t>Observation</t>
  </si>
  <si>
    <t>Forudsagt Højde</t>
  </si>
  <si>
    <t>Residualer</t>
  </si>
  <si>
    <t>Standardresidualer</t>
  </si>
  <si>
    <t>SANDSYNLIGHEDSOUTPUT</t>
  </si>
  <si>
    <t>Fraktil</t>
  </si>
  <si>
    <t>Multiple R</t>
  </si>
  <si>
    <t>R Square</t>
  </si>
  <si>
    <t>Adjusted R Square</t>
  </si>
  <si>
    <t>Standard Error</t>
  </si>
  <si>
    <t>Observations</t>
  </si>
  <si>
    <t>Regression</t>
  </si>
  <si>
    <t>Residual</t>
  </si>
  <si>
    <t>Total</t>
  </si>
  <si>
    <t>Intercept</t>
  </si>
  <si>
    <t>Hyppighed</t>
  </si>
  <si>
    <t>Sorteret efter køn</t>
  </si>
  <si>
    <t>Piger</t>
  </si>
  <si>
    <t>Drenge</t>
  </si>
  <si>
    <t>t-test: To stikprøver med forskellig varians</t>
  </si>
  <si>
    <t>Varians</t>
  </si>
  <si>
    <t>Observationer</t>
  </si>
  <si>
    <t>Hypotese for forskel i middelværdi</t>
  </si>
  <si>
    <t>P(T&lt;=t) en-halet</t>
  </si>
  <si>
    <t>t-kritisk en-halet</t>
  </si>
  <si>
    <t>P(T&lt;=t) to-halet</t>
  </si>
  <si>
    <t>t-kritisk to-halet</t>
  </si>
  <si>
    <t>Middel</t>
  </si>
  <si>
    <t>Stdafv</t>
  </si>
  <si>
    <t>DF</t>
  </si>
  <si>
    <t>t-test str.</t>
  </si>
  <si>
    <t>DF samlet</t>
  </si>
  <si>
    <t>S^2/n</t>
  </si>
  <si>
    <t>BMI</t>
  </si>
  <si>
    <t>Gennemsnit</t>
  </si>
  <si>
    <t>Midtpunkt</t>
  </si>
  <si>
    <t>Højre endepunkt</t>
  </si>
  <si>
    <t>Venstre endepunkt</t>
  </si>
  <si>
    <t>Middelvægt</t>
  </si>
  <si>
    <t>Højde i cm</t>
  </si>
  <si>
    <t>Vægt i kg</t>
  </si>
  <si>
    <t>I alt</t>
  </si>
  <si>
    <t>Spredning</t>
  </si>
  <si>
    <t>Modus</t>
  </si>
  <si>
    <t>Øvre kvartil</t>
  </si>
  <si>
    <t>Nedre kvartil</t>
  </si>
  <si>
    <t>Max</t>
  </si>
  <si>
    <t>Min</t>
  </si>
  <si>
    <t>Variationsbredde</t>
  </si>
  <si>
    <t>CV</t>
  </si>
  <si>
    <t>Kvartilafvigelse</t>
  </si>
  <si>
    <t>=MIDDEL(A1:Q1)</t>
  </si>
  <si>
    <t>=STDAFV(A1:Q1)</t>
  </si>
  <si>
    <t>=MEDIAN(A1:Q1)</t>
  </si>
  <si>
    <t>=A4/A3</t>
  </si>
  <si>
    <t>=HYPPIGST(A1:Q1)</t>
  </si>
  <si>
    <t>=KVARTIL(A1:Q1;3)</t>
  </si>
  <si>
    <t>=KVARTIL(A1:Q1;1)</t>
  </si>
  <si>
    <t>=A8-A9</t>
  </si>
  <si>
    <t>=MAKS(A1:Q1)</t>
  </si>
  <si>
    <t>=MIN(A1:Q1)</t>
  </si>
  <si>
    <t>=A11-A12</t>
  </si>
  <si>
    <t>x</t>
  </si>
  <si>
    <t>Søjler Alder</t>
  </si>
  <si>
    <t>Mere</t>
  </si>
  <si>
    <t>Konfidensinterval</t>
  </si>
  <si>
    <t>=MIDDEL(B2:B31)</t>
  </si>
  <si>
    <t>=STDAFV(B2:B31)</t>
  </si>
  <si>
    <t>=KONFIDENSINTERVAL(0,05;B35;30)</t>
  </si>
  <si>
    <t>Øvre</t>
  </si>
  <si>
    <t>Nedre</t>
  </si>
  <si>
    <t>Konfidensinterval for antal drenge</t>
  </si>
  <si>
    <t>p=x/n</t>
  </si>
  <si>
    <t>n</t>
  </si>
  <si>
    <t>u</t>
  </si>
  <si>
    <t>=B3/B4</t>
  </si>
  <si>
    <t>=1,96*KVROD(B5*(1-B5)/B4)</t>
  </si>
  <si>
    <t>=B5-B6</t>
  </si>
  <si>
    <t>=B5+B6</t>
  </si>
  <si>
    <t>Hyppigheden af fodbold</t>
  </si>
  <si>
    <t>Kondition</t>
  </si>
  <si>
    <t>Ikke-ryger</t>
  </si>
  <si>
    <t>Dårlig</t>
  </si>
  <si>
    <t>God</t>
  </si>
  <si>
    <t>Ryger</t>
  </si>
  <si>
    <t>Fodboldspillere fordelt på køn</t>
  </si>
  <si>
    <t>Forventede antal under hypotesen om uafhængighed</t>
  </si>
  <si>
    <t>Fodbold</t>
  </si>
  <si>
    <t>Ej fodbold</t>
  </si>
  <si>
    <t>Dreng</t>
  </si>
  <si>
    <t>Pige</t>
  </si>
  <si>
    <t>=CHITEST(B3:C4;B9:C10)</t>
  </si>
  <si>
    <t>Observerede antal børn</t>
  </si>
  <si>
    <t>Forventede antal børn</t>
  </si>
  <si>
    <t>Procent</t>
  </si>
  <si>
    <t>=CHIINV(A13;1)</t>
  </si>
  <si>
    <t>Kvotientteststørrelsen</t>
  </si>
  <si>
    <t xml:space="preserve">LN </t>
  </si>
  <si>
    <t>X*LN X</t>
  </si>
  <si>
    <t>X</t>
  </si>
  <si>
    <t>p</t>
  </si>
  <si>
    <t>chi-square</t>
  </si>
  <si>
    <t>Obs. - Forv. Antal</t>
  </si>
  <si>
    <t>Chi-square</t>
  </si>
  <si>
    <t>Prognose</t>
  </si>
  <si>
    <t>=SKÆRING(B2:B18;A2:A18)</t>
  </si>
  <si>
    <t>=STIGNING(B2:B18;A2:A18)</t>
  </si>
  <si>
    <t>=KORRELATION(A2:A18;B2:B18)</t>
  </si>
  <si>
    <t>=FORKLARINGSGRAD(B2:B18;A2:A18)</t>
  </si>
  <si>
    <t>Resultater</t>
  </si>
  <si>
    <t>Formler i regneark</t>
  </si>
  <si>
    <t>RESUMEOUTPUT</t>
  </si>
  <si>
    <t>Regressionsstatistik</t>
  </si>
  <si>
    <t>Multipel R</t>
  </si>
  <si>
    <t>R-kvadreret</t>
  </si>
  <si>
    <t>Justeret R-kvadreret</t>
  </si>
  <si>
    <t>ANAVA</t>
  </si>
  <si>
    <t>Skæring</t>
  </si>
  <si>
    <t>X-variabel 1</t>
  </si>
  <si>
    <t>=STDAFV(D2:D18)</t>
  </si>
  <si>
    <t>=TFORDELING(E8;15;2)</t>
  </si>
  <si>
    <t>=E4*KVROD(15/(1-E5))</t>
  </si>
  <si>
    <t>Før</t>
  </si>
  <si>
    <t>Efter</t>
  </si>
  <si>
    <t>Forskel</t>
  </si>
  <si>
    <t>t-test</t>
  </si>
  <si>
    <t>=TTEST(E37:E49;F37:F49;2;1)</t>
  </si>
  <si>
    <t>Nedre grænse</t>
  </si>
  <si>
    <t>Øvre grænse</t>
  </si>
  <si>
    <t>Parvise observationer</t>
  </si>
  <si>
    <t>Interval</t>
  </si>
  <si>
    <t>Forskel i MV</t>
  </si>
  <si>
    <t>T-test to grupper</t>
  </si>
  <si>
    <t>Konfidensinterval, nedre grænse</t>
  </si>
  <si>
    <t>Konfidensinterval, øvre grænse</t>
  </si>
  <si>
    <t>s fælles</t>
  </si>
  <si>
    <t>Stat. Usikkerhed på forskel</t>
  </si>
  <si>
    <t>30 tilfældigt udvalgte unge i en kommune</t>
  </si>
  <si>
    <t>Unge i stikprøven fordelt på rygning og kondition</t>
  </si>
</sst>
</file>

<file path=xl/styles.xml><?xml version="1.0" encoding="utf-8"?>
<styleSheet xmlns="http://schemas.openxmlformats.org/spreadsheetml/2006/main">
  <numFmts count="7">
    <numFmt numFmtId="175" formatCode="0.00000"/>
    <numFmt numFmtId="176" formatCode="0.0000"/>
    <numFmt numFmtId="177" formatCode="0.0"/>
    <numFmt numFmtId="178" formatCode="0.000"/>
    <numFmt numFmtId="179" formatCode=".00%"/>
    <numFmt numFmtId="184" formatCode="0.0%"/>
    <numFmt numFmtId="185" formatCode="0.000%"/>
  </numFmts>
  <fonts count="10">
    <font>
      <sz val="10"/>
      <name val="Arial"/>
    </font>
    <font>
      <b/>
      <sz val="10"/>
      <name val="Arial"/>
    </font>
    <font>
      <i/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1"/>
      <name val="Times New Roman"/>
      <family val="1"/>
    </font>
    <font>
      <b/>
      <i/>
      <sz val="10"/>
      <name val="Arial"/>
      <family val="2"/>
    </font>
    <font>
      <sz val="11"/>
      <name val="Times New Roman"/>
      <family val="1"/>
    </font>
    <font>
      <i/>
      <sz val="10"/>
      <name val="Arial"/>
      <family val="2"/>
    </font>
    <font>
      <sz val="11"/>
      <color indexed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 applyNumberFormat="0" applyFill="0" applyBorder="0" applyAlignment="0" applyProtection="0"/>
  </cellStyleXfs>
  <cellXfs count="112">
    <xf numFmtId="0" fontId="0" fillId="0" borderId="0" xfId="0"/>
    <xf numFmtId="1" fontId="0" fillId="0" borderId="0" xfId="0" applyNumberFormat="1"/>
    <xf numFmtId="0" fontId="0" fillId="0" borderId="0" xfId="0" applyAlignment="1">
      <alignment horizontal="right"/>
    </xf>
    <xf numFmtId="0" fontId="0" fillId="0" borderId="0" xfId="0" applyFill="1" applyBorder="1" applyAlignment="1"/>
    <xf numFmtId="0" fontId="0" fillId="0" borderId="1" xfId="0" applyFill="1" applyBorder="1" applyAlignment="1"/>
    <xf numFmtId="0" fontId="2" fillId="0" borderId="2" xfId="0" applyFont="1" applyFill="1" applyBorder="1" applyAlignment="1">
      <alignment horizontal="center"/>
    </xf>
    <xf numFmtId="176" fontId="0" fillId="0" borderId="0" xfId="0" applyNumberFormat="1"/>
    <xf numFmtId="2" fontId="0" fillId="0" borderId="0" xfId="0" applyNumberFormat="1"/>
    <xf numFmtId="178" fontId="0" fillId="0" borderId="0" xfId="0" applyNumberFormat="1"/>
    <xf numFmtId="0" fontId="0" fillId="0" borderId="0" xfId="0" applyNumberFormat="1" applyFill="1" applyBorder="1" applyAlignment="1"/>
    <xf numFmtId="179" fontId="0" fillId="0" borderId="0" xfId="0" applyNumberFormat="1" applyFill="1" applyBorder="1" applyAlignment="1"/>
    <xf numFmtId="0" fontId="2" fillId="0" borderId="0" xfId="0" applyFont="1" applyFill="1" applyBorder="1" applyAlignment="1">
      <alignment horizontal="center"/>
    </xf>
    <xf numFmtId="0" fontId="0" fillId="0" borderId="0" xfId="0" applyBorder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177" fontId="0" fillId="0" borderId="0" xfId="0" applyNumberFormat="1"/>
    <xf numFmtId="0" fontId="0" fillId="0" borderId="1" xfId="0" applyBorder="1"/>
    <xf numFmtId="0" fontId="0" fillId="0" borderId="1" xfId="0" applyNumberFormat="1" applyFill="1" applyBorder="1" applyAlignment="1"/>
    <xf numFmtId="0" fontId="2" fillId="0" borderId="3" xfId="0" applyFont="1" applyFill="1" applyBorder="1" applyAlignment="1">
      <alignment horizontal="left"/>
    </xf>
    <xf numFmtId="0" fontId="2" fillId="0" borderId="4" xfId="0" applyFont="1" applyFill="1" applyBorder="1" applyAlignment="1">
      <alignment horizontal="left"/>
    </xf>
    <xf numFmtId="0" fontId="2" fillId="0" borderId="4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0" fillId="0" borderId="6" xfId="0" applyBorder="1"/>
    <xf numFmtId="0" fontId="0" fillId="0" borderId="0" xfId="0" applyFill="1" applyBorder="1" applyAlignment="1">
      <alignment horizontal="right"/>
    </xf>
    <xf numFmtId="0" fontId="0" fillId="0" borderId="6" xfId="0" applyFill="1" applyBorder="1" applyAlignment="1">
      <alignment horizontal="right"/>
    </xf>
    <xf numFmtId="2" fontId="0" fillId="0" borderId="6" xfId="0" applyNumberFormat="1" applyFill="1" applyBorder="1" applyAlignment="1">
      <alignment horizontal="right"/>
    </xf>
    <xf numFmtId="2" fontId="3" fillId="0" borderId="0" xfId="0" applyNumberFormat="1" applyFont="1"/>
    <xf numFmtId="0" fontId="3" fillId="0" borderId="6" xfId="0" applyFont="1" applyBorder="1"/>
    <xf numFmtId="177" fontId="0" fillId="0" borderId="6" xfId="0" applyNumberFormat="1" applyBorder="1"/>
    <xf numFmtId="1" fontId="3" fillId="0" borderId="6" xfId="0" applyNumberFormat="1" applyFont="1" applyBorder="1"/>
    <xf numFmtId="0" fontId="3" fillId="0" borderId="0" xfId="0" applyFont="1" applyBorder="1"/>
    <xf numFmtId="0" fontId="4" fillId="0" borderId="0" xfId="0" applyFont="1" applyBorder="1"/>
    <xf numFmtId="0" fontId="3" fillId="0" borderId="0" xfId="0" applyFont="1"/>
    <xf numFmtId="2" fontId="0" fillId="0" borderId="0" xfId="0" applyNumberFormat="1" applyFill="1" applyBorder="1" applyAlignment="1"/>
    <xf numFmtId="2" fontId="0" fillId="0" borderId="1" xfId="0" applyNumberFormat="1" applyFill="1" applyBorder="1" applyAlignment="1"/>
    <xf numFmtId="184" fontId="0" fillId="0" borderId="0" xfId="0" applyNumberFormat="1"/>
    <xf numFmtId="2" fontId="0" fillId="0" borderId="0" xfId="0" quotePrefix="1" applyNumberFormat="1"/>
    <xf numFmtId="178" fontId="0" fillId="0" borderId="0" xfId="0" quotePrefix="1" applyNumberFormat="1"/>
    <xf numFmtId="184" fontId="0" fillId="0" borderId="0" xfId="0" quotePrefix="1" applyNumberFormat="1"/>
    <xf numFmtId="0" fontId="0" fillId="0" borderId="0" xfId="0" quotePrefix="1"/>
    <xf numFmtId="0" fontId="6" fillId="0" borderId="2" xfId="0" applyFont="1" applyFill="1" applyBorder="1" applyAlignment="1">
      <alignment horizontal="center"/>
    </xf>
    <xf numFmtId="0" fontId="5" fillId="0" borderId="6" xfId="0" applyFont="1" applyBorder="1"/>
    <xf numFmtId="1" fontId="0" fillId="0" borderId="0" xfId="0" applyNumberFormat="1" applyFill="1" applyBorder="1" applyAlignment="1"/>
    <xf numFmtId="0" fontId="4" fillId="0" borderId="6" xfId="0" applyFont="1" applyBorder="1" applyAlignment="1">
      <alignment horizontal="right"/>
    </xf>
    <xf numFmtId="0" fontId="4" fillId="0" borderId="7" xfId="0" applyFont="1" applyBorder="1" applyAlignment="1">
      <alignment horizontal="right"/>
    </xf>
    <xf numFmtId="0" fontId="4" fillId="0" borderId="8" xfId="0" applyFont="1" applyBorder="1" applyAlignment="1">
      <alignment horizontal="right"/>
    </xf>
    <xf numFmtId="0" fontId="4" fillId="0" borderId="9" xfId="0" applyFont="1" applyBorder="1" applyAlignment="1">
      <alignment horizontal="right"/>
    </xf>
    <xf numFmtId="178" fontId="0" fillId="0" borderId="6" xfId="0" applyNumberFormat="1" applyBorder="1"/>
    <xf numFmtId="0" fontId="8" fillId="0" borderId="0" xfId="0" applyFont="1"/>
    <xf numFmtId="175" fontId="0" fillId="0" borderId="0" xfId="0" applyNumberFormat="1"/>
    <xf numFmtId="0" fontId="9" fillId="0" borderId="10" xfId="0" applyFont="1" applyBorder="1" applyAlignment="1">
      <alignment horizontal="justify"/>
    </xf>
    <xf numFmtId="0" fontId="9" fillId="0" borderId="6" xfId="0" applyFont="1" applyBorder="1"/>
    <xf numFmtId="1" fontId="9" fillId="0" borderId="6" xfId="0" applyNumberFormat="1" applyFont="1" applyBorder="1"/>
    <xf numFmtId="0" fontId="9" fillId="0" borderId="6" xfId="0" applyFont="1" applyBorder="1" applyAlignment="1">
      <alignment horizontal="justify"/>
    </xf>
    <xf numFmtId="0" fontId="9" fillId="0" borderId="11" xfId="0" applyFont="1" applyBorder="1" applyAlignment="1">
      <alignment horizontal="justify"/>
    </xf>
    <xf numFmtId="0" fontId="3" fillId="0" borderId="6" xfId="0" applyFont="1" applyBorder="1" applyAlignment="1">
      <alignment horizontal="right" vertical="center"/>
    </xf>
    <xf numFmtId="0" fontId="4" fillId="0" borderId="6" xfId="0" applyFont="1" applyBorder="1"/>
    <xf numFmtId="0" fontId="4" fillId="0" borderId="0" xfId="0" applyFont="1"/>
    <xf numFmtId="2" fontId="0" fillId="0" borderId="6" xfId="0" applyNumberFormat="1" applyBorder="1" applyAlignment="1">
      <alignment horizontal="right"/>
    </xf>
    <xf numFmtId="0" fontId="1" fillId="0" borderId="0" xfId="0" applyFont="1"/>
    <xf numFmtId="184" fontId="4" fillId="0" borderId="6" xfId="0" applyNumberFormat="1" applyFont="1" applyBorder="1"/>
    <xf numFmtId="0" fontId="3" fillId="0" borderId="0" xfId="0" applyFont="1" applyFill="1" applyBorder="1"/>
    <xf numFmtId="176" fontId="0" fillId="0" borderId="6" xfId="0" applyNumberFormat="1" applyBorder="1"/>
    <xf numFmtId="178" fontId="3" fillId="0" borderId="0" xfId="0" applyNumberFormat="1" applyFont="1"/>
    <xf numFmtId="9" fontId="4" fillId="0" borderId="6" xfId="0" applyNumberFormat="1" applyFont="1" applyBorder="1"/>
    <xf numFmtId="2" fontId="4" fillId="0" borderId="6" xfId="0" applyNumberFormat="1" applyFont="1" applyBorder="1"/>
    <xf numFmtId="178" fontId="3" fillId="0" borderId="6" xfId="0" applyNumberFormat="1" applyFont="1" applyBorder="1"/>
    <xf numFmtId="0" fontId="0" fillId="0" borderId="6" xfId="0" quotePrefix="1" applyBorder="1"/>
    <xf numFmtId="2" fontId="3" fillId="0" borderId="6" xfId="0" applyNumberFormat="1" applyFont="1" applyBorder="1"/>
    <xf numFmtId="0" fontId="7" fillId="0" borderId="6" xfId="0" applyFont="1" applyBorder="1" applyAlignment="1">
      <alignment horizontal="right"/>
    </xf>
    <xf numFmtId="2" fontId="7" fillId="0" borderId="6" xfId="0" applyNumberFormat="1" applyFont="1" applyBorder="1"/>
    <xf numFmtId="176" fontId="7" fillId="0" borderId="6" xfId="0" applyNumberFormat="1" applyFont="1" applyBorder="1"/>
    <xf numFmtId="0" fontId="7" fillId="0" borderId="6" xfId="0" quotePrefix="1" applyFont="1" applyBorder="1"/>
    <xf numFmtId="0" fontId="7" fillId="0" borderId="6" xfId="0" applyFont="1" applyBorder="1"/>
    <xf numFmtId="0" fontId="7" fillId="0" borderId="8" xfId="0" applyFont="1" applyBorder="1" applyAlignment="1">
      <alignment horizontal="right"/>
    </xf>
    <xf numFmtId="2" fontId="7" fillId="0" borderId="8" xfId="0" applyNumberFormat="1" applyFont="1" applyBorder="1"/>
    <xf numFmtId="176" fontId="7" fillId="0" borderId="8" xfId="0" applyNumberFormat="1" applyFont="1" applyBorder="1"/>
    <xf numFmtId="0" fontId="7" fillId="0" borderId="8" xfId="0" quotePrefix="1" applyFont="1" applyBorder="1"/>
    <xf numFmtId="0" fontId="5" fillId="0" borderId="12" xfId="0" applyFont="1" applyBorder="1" applyAlignment="1">
      <alignment horizontal="right"/>
    </xf>
    <xf numFmtId="0" fontId="5" fillId="0" borderId="13" xfId="0" applyFont="1" applyBorder="1" applyAlignment="1">
      <alignment horizontal="right"/>
    </xf>
    <xf numFmtId="0" fontId="5" fillId="0" borderId="13" xfId="0" applyFont="1" applyFill="1" applyBorder="1" applyAlignment="1">
      <alignment horizontal="right"/>
    </xf>
    <xf numFmtId="176" fontId="5" fillId="0" borderId="13" xfId="0" applyNumberFormat="1" applyFont="1" applyBorder="1"/>
    <xf numFmtId="0" fontId="5" fillId="0" borderId="14" xfId="0" applyFont="1" applyFill="1" applyBorder="1" applyAlignment="1">
      <alignment horizontal="left"/>
    </xf>
    <xf numFmtId="0" fontId="2" fillId="0" borderId="2" xfId="0" applyFont="1" applyFill="1" applyBorder="1" applyAlignment="1">
      <alignment horizontal="centerContinuous"/>
    </xf>
    <xf numFmtId="176" fontId="0" fillId="0" borderId="0" xfId="0" applyNumberFormat="1" applyFill="1" applyBorder="1" applyAlignment="1"/>
    <xf numFmtId="176" fontId="0" fillId="0" borderId="1" xfId="0" applyNumberFormat="1" applyFill="1" applyBorder="1" applyAlignment="1"/>
    <xf numFmtId="2" fontId="7" fillId="0" borderId="0" xfId="0" applyNumberFormat="1" applyFont="1" applyFill="1" applyBorder="1"/>
    <xf numFmtId="2" fontId="7" fillId="0" borderId="15" xfId="0" applyNumberFormat="1" applyFont="1" applyBorder="1"/>
    <xf numFmtId="0" fontId="7" fillId="0" borderId="7" xfId="0" applyFont="1" applyBorder="1"/>
    <xf numFmtId="185" fontId="0" fillId="0" borderId="0" xfId="0" applyNumberFormat="1"/>
    <xf numFmtId="10" fontId="3" fillId="0" borderId="0" xfId="0" applyNumberFormat="1" applyFont="1"/>
    <xf numFmtId="177" fontId="0" fillId="0" borderId="0" xfId="0" applyNumberFormat="1" applyFill="1" applyBorder="1" applyAlignment="1"/>
    <xf numFmtId="177" fontId="3" fillId="0" borderId="0" xfId="0" applyNumberFormat="1" applyFont="1"/>
    <xf numFmtId="185" fontId="7" fillId="0" borderId="6" xfId="0" applyNumberFormat="1" applyFont="1" applyBorder="1"/>
    <xf numFmtId="178" fontId="3" fillId="0" borderId="1" xfId="0" applyNumberFormat="1" applyFont="1" applyFill="1" applyBorder="1" applyAlignment="1"/>
    <xf numFmtId="178" fontId="3" fillId="0" borderId="0" xfId="0" applyNumberFormat="1" applyFont="1" applyFill="1" applyBorder="1" applyAlignment="1"/>
    <xf numFmtId="0" fontId="3" fillId="0" borderId="0" xfId="0" quotePrefix="1" applyFont="1"/>
    <xf numFmtId="2" fontId="3" fillId="2" borderId="0" xfId="0" applyNumberFormat="1" applyFont="1" applyFill="1"/>
    <xf numFmtId="0" fontId="2" fillId="0" borderId="6" xfId="0" applyFont="1" applyFill="1" applyBorder="1" applyAlignment="1">
      <alignment horizontal="left"/>
    </xf>
    <xf numFmtId="0" fontId="2" fillId="0" borderId="6" xfId="0" applyFont="1" applyFill="1" applyBorder="1" applyAlignment="1">
      <alignment horizontal="center"/>
    </xf>
    <xf numFmtId="0" fontId="0" fillId="0" borderId="6" xfId="0" applyNumberFormat="1" applyFill="1" applyBorder="1" applyAlignment="1"/>
    <xf numFmtId="0" fontId="0" fillId="0" borderId="6" xfId="0" applyFill="1" applyBorder="1" applyAlignment="1"/>
    <xf numFmtId="0" fontId="3" fillId="0" borderId="0" xfId="0" applyFont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9" fillId="0" borderId="15" xfId="0" applyFont="1" applyBorder="1" applyAlignment="1">
      <alignment horizontal="center"/>
    </xf>
    <xf numFmtId="0" fontId="9" fillId="0" borderId="17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4" fillId="0" borderId="16" xfId="0" applyFont="1" applyBorder="1" applyAlignment="1">
      <alignment horizontal="left"/>
    </xf>
    <xf numFmtId="0" fontId="0" fillId="0" borderId="0" xfId="0" applyAlignment="1">
      <alignment horizontal="center"/>
    </xf>
    <xf numFmtId="0" fontId="3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a-DK"/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Vægt vs. højde</a:t>
            </a:r>
          </a:p>
        </c:rich>
      </c:tx>
      <c:layout>
        <c:manualLayout>
          <c:xMode val="edge"/>
          <c:yMode val="edge"/>
          <c:x val="0.4007421150278293"/>
          <c:y val="3.7037037037037035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1873840445269017"/>
          <c:y val="0.20875489515893031"/>
          <c:w val="0.83302411873840443"/>
          <c:h val="0.56565842559194024"/>
        </c:manualLayout>
      </c:layout>
      <c:scatterChart>
        <c:scatterStyle val="lineMarker"/>
        <c:ser>
          <c:idx val="0"/>
          <c:order val="0"/>
          <c:tx>
            <c:strRef>
              <c:f>Data!$E$1</c:f>
              <c:strCache>
                <c:ptCount val="1"/>
                <c:pt idx="0">
                  <c:v>Vægt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Data!$D$2:$D$31</c:f>
              <c:numCache>
                <c:formatCode>General</c:formatCode>
                <c:ptCount val="30"/>
                <c:pt idx="0">
                  <c:v>145</c:v>
                </c:pt>
                <c:pt idx="1">
                  <c:v>151</c:v>
                </c:pt>
                <c:pt idx="2">
                  <c:v>118</c:v>
                </c:pt>
                <c:pt idx="3">
                  <c:v>166</c:v>
                </c:pt>
                <c:pt idx="4">
                  <c:v>160</c:v>
                </c:pt>
                <c:pt idx="5">
                  <c:v>151</c:v>
                </c:pt>
                <c:pt idx="6">
                  <c:v>166</c:v>
                </c:pt>
                <c:pt idx="7">
                  <c:v>185</c:v>
                </c:pt>
                <c:pt idx="8">
                  <c:v>176</c:v>
                </c:pt>
                <c:pt idx="9">
                  <c:v>125</c:v>
                </c:pt>
                <c:pt idx="10">
                  <c:v>152</c:v>
                </c:pt>
                <c:pt idx="11">
                  <c:v>127</c:v>
                </c:pt>
                <c:pt idx="12">
                  <c:v>112</c:v>
                </c:pt>
                <c:pt idx="13">
                  <c:v>157</c:v>
                </c:pt>
                <c:pt idx="14">
                  <c:v>115</c:v>
                </c:pt>
                <c:pt idx="15">
                  <c:v>174</c:v>
                </c:pt>
                <c:pt idx="16">
                  <c:v>171</c:v>
                </c:pt>
                <c:pt idx="17">
                  <c:v>141</c:v>
                </c:pt>
                <c:pt idx="18">
                  <c:v>166</c:v>
                </c:pt>
                <c:pt idx="19">
                  <c:v>162</c:v>
                </c:pt>
                <c:pt idx="20">
                  <c:v>157</c:v>
                </c:pt>
                <c:pt idx="21">
                  <c:v>139</c:v>
                </c:pt>
                <c:pt idx="22">
                  <c:v>159</c:v>
                </c:pt>
                <c:pt idx="23">
                  <c:v>170</c:v>
                </c:pt>
                <c:pt idx="24">
                  <c:v>198</c:v>
                </c:pt>
                <c:pt idx="25">
                  <c:v>192</c:v>
                </c:pt>
                <c:pt idx="26">
                  <c:v>154</c:v>
                </c:pt>
                <c:pt idx="27">
                  <c:v>170</c:v>
                </c:pt>
                <c:pt idx="28">
                  <c:v>184</c:v>
                </c:pt>
                <c:pt idx="29">
                  <c:v>170</c:v>
                </c:pt>
              </c:numCache>
            </c:numRef>
          </c:xVal>
          <c:yVal>
            <c:numRef>
              <c:f>Data!$E$2:$E$31</c:f>
              <c:numCache>
                <c:formatCode>General</c:formatCode>
                <c:ptCount val="30"/>
                <c:pt idx="0">
                  <c:v>59</c:v>
                </c:pt>
                <c:pt idx="1">
                  <c:v>49</c:v>
                </c:pt>
                <c:pt idx="2">
                  <c:v>32</c:v>
                </c:pt>
                <c:pt idx="3">
                  <c:v>59</c:v>
                </c:pt>
                <c:pt idx="4">
                  <c:v>39</c:v>
                </c:pt>
                <c:pt idx="5">
                  <c:v>41</c:v>
                </c:pt>
                <c:pt idx="6">
                  <c:v>49</c:v>
                </c:pt>
                <c:pt idx="7">
                  <c:v>81</c:v>
                </c:pt>
                <c:pt idx="8">
                  <c:v>49</c:v>
                </c:pt>
                <c:pt idx="9">
                  <c:v>33</c:v>
                </c:pt>
                <c:pt idx="10">
                  <c:v>45</c:v>
                </c:pt>
                <c:pt idx="11">
                  <c:v>49</c:v>
                </c:pt>
                <c:pt idx="12">
                  <c:v>42</c:v>
                </c:pt>
                <c:pt idx="13">
                  <c:v>66</c:v>
                </c:pt>
                <c:pt idx="14">
                  <c:v>36</c:v>
                </c:pt>
                <c:pt idx="15">
                  <c:v>58</c:v>
                </c:pt>
                <c:pt idx="16">
                  <c:v>52</c:v>
                </c:pt>
                <c:pt idx="17">
                  <c:v>47</c:v>
                </c:pt>
                <c:pt idx="18">
                  <c:v>45</c:v>
                </c:pt>
                <c:pt idx="19">
                  <c:v>51</c:v>
                </c:pt>
                <c:pt idx="20">
                  <c:v>49</c:v>
                </c:pt>
                <c:pt idx="21">
                  <c:v>41</c:v>
                </c:pt>
                <c:pt idx="22">
                  <c:v>52</c:v>
                </c:pt>
                <c:pt idx="23">
                  <c:v>49</c:v>
                </c:pt>
                <c:pt idx="24">
                  <c:v>77</c:v>
                </c:pt>
                <c:pt idx="25">
                  <c:v>73</c:v>
                </c:pt>
                <c:pt idx="26">
                  <c:v>52</c:v>
                </c:pt>
                <c:pt idx="27">
                  <c:v>64</c:v>
                </c:pt>
                <c:pt idx="28">
                  <c:v>73</c:v>
                </c:pt>
                <c:pt idx="29">
                  <c:v>83</c:v>
                </c:pt>
              </c:numCache>
            </c:numRef>
          </c:yVal>
        </c:ser>
        <c:axId val="128988288"/>
        <c:axId val="129083648"/>
      </c:scatterChart>
      <c:valAx>
        <c:axId val="128988288"/>
        <c:scaling>
          <c:orientation val="minMax"/>
          <c:max val="200"/>
          <c:min val="100"/>
        </c:scaling>
        <c:axPos val="b"/>
        <c:title>
          <c:tx>
            <c:rich>
              <a:bodyPr/>
              <a:lstStyle/>
              <a:p>
                <a:pPr>
                  <a:defRPr sz="8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Højde</a:t>
                </a:r>
              </a:p>
            </c:rich>
          </c:tx>
          <c:layout>
            <c:manualLayout>
              <c:xMode val="edge"/>
              <c:yMode val="edge"/>
              <c:x val="0.5009276437847866"/>
              <c:y val="0.87542370335021258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129083648"/>
        <c:crosses val="autoZero"/>
        <c:crossBetween val="midCat"/>
        <c:majorUnit val="10"/>
        <c:minorUnit val="1"/>
      </c:valAx>
      <c:valAx>
        <c:axId val="129083648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Vægt</a:t>
                </a:r>
              </a:p>
            </c:rich>
          </c:tx>
          <c:layout>
            <c:manualLayout>
              <c:xMode val="edge"/>
              <c:yMode val="edge"/>
              <c:x val="2.9684601113172542E-2"/>
              <c:y val="0.43434484830810288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128988288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a-DK"/>
    </a:p>
  </c:txPr>
  <c:printSettings>
    <c:headerFooter alignWithMargins="0"/>
    <c:pageMargins b="1" l="0.75" r="0.75" t="1" header="0" footer="0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a-DK"/>
  <c:chart>
    <c:title>
      <c:layout>
        <c:manualLayout>
          <c:xMode val="edge"/>
          <c:yMode val="edge"/>
          <c:x val="0.43564356435643564"/>
          <c:y val="3.6423841059602648E-2"/>
        </c:manualLayout>
      </c:layout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a-DK"/>
        </a:p>
      </c:txPr>
    </c:title>
    <c:plotArea>
      <c:layout>
        <c:manualLayout>
          <c:layoutTarget val="inner"/>
          <c:xMode val="edge"/>
          <c:yMode val="edge"/>
          <c:x val="0.12871287128712872"/>
          <c:y val="0.19205298013245034"/>
          <c:w val="0.8366336633663366"/>
          <c:h val="0.67218543046357615"/>
        </c:manualLayout>
      </c:layout>
      <c:barChart>
        <c:barDir val="col"/>
        <c:grouping val="clustered"/>
        <c:ser>
          <c:idx val="0"/>
          <c:order val="0"/>
          <c:tx>
            <c:strRef>
              <c:f>Grafer!$I$3</c:f>
              <c:strCache>
                <c:ptCount val="1"/>
                <c:pt idx="0">
                  <c:v>Højde i cm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Grafer!$H$4:$H$5</c:f>
              <c:strCache>
                <c:ptCount val="2"/>
                <c:pt idx="0">
                  <c:v>Piger</c:v>
                </c:pt>
                <c:pt idx="1">
                  <c:v>Drenge</c:v>
                </c:pt>
              </c:strCache>
            </c:strRef>
          </c:cat>
          <c:val>
            <c:numRef>
              <c:f>Grafer!$I$4:$I$5</c:f>
              <c:numCache>
                <c:formatCode>0.0</c:formatCode>
                <c:ptCount val="2"/>
                <c:pt idx="0">
                  <c:v>148.76923076923077</c:v>
                </c:pt>
                <c:pt idx="1">
                  <c:v>163.875</c:v>
                </c:pt>
              </c:numCache>
            </c:numRef>
          </c:val>
        </c:ser>
        <c:axId val="128970112"/>
        <c:axId val="129033344"/>
      </c:barChart>
      <c:catAx>
        <c:axId val="128970112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129033344"/>
        <c:crosses val="autoZero"/>
        <c:auto val="1"/>
        <c:lblAlgn val="ctr"/>
        <c:lblOffset val="100"/>
        <c:tickLblSkip val="1"/>
        <c:tickMarkSkip val="1"/>
      </c:catAx>
      <c:valAx>
        <c:axId val="129033344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12897011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a-DK"/>
    </a:p>
  </c:txPr>
  <c:printSettings>
    <c:headerFooter alignWithMargins="0"/>
    <c:pageMargins b="1" l="0.75" r="0.75" t="1" header="0" footer="0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a-DK"/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Antal af hvert køn</a:t>
            </a:r>
          </a:p>
        </c:rich>
      </c:tx>
      <c:layout>
        <c:manualLayout>
          <c:xMode val="edge"/>
          <c:yMode val="edge"/>
          <c:x val="0.25977059764081212"/>
          <c:y val="3.4582132564841501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1149472767314942"/>
          <c:y val="0.36023054755043227"/>
          <c:w val="0.35632263901454519"/>
          <c:h val="0.44668587896253603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</c:dPt>
          <c:dPt>
            <c:idx val="1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4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a-DK"/>
              </a:p>
            </c:txPr>
            <c:showVal val="1"/>
            <c:showLeaderLines val="1"/>
          </c:dLbls>
          <c:cat>
            <c:strRef>
              <c:f>Grafer!$L$4:$L$5</c:f>
              <c:strCache>
                <c:ptCount val="2"/>
                <c:pt idx="0">
                  <c:v>Piger</c:v>
                </c:pt>
                <c:pt idx="1">
                  <c:v>Drenge</c:v>
                </c:pt>
              </c:strCache>
            </c:strRef>
          </c:cat>
          <c:val>
            <c:numRef>
              <c:f>Grafer!$M$4:$M$5</c:f>
              <c:numCache>
                <c:formatCode>General</c:formatCode>
                <c:ptCount val="2"/>
                <c:pt idx="0">
                  <c:v>13</c:v>
                </c:pt>
                <c:pt idx="1">
                  <c:v>17</c:v>
                </c:pt>
              </c:numCache>
            </c:numRef>
          </c:val>
        </c:ser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7011663197272751"/>
          <c:y val="0.50432276657060515"/>
          <c:w val="0.98161136754457412"/>
          <c:h val="0.66282420749279536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8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a-DK"/>
        </a:p>
      </c:txPr>
    </c:legend>
    <c:plotVisOnly val="1"/>
    <c:dispBlanksAs val="zero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a-DK"/>
    </a:p>
  </c:txPr>
  <c:printSettings>
    <c:headerFooter alignWithMargins="0"/>
    <c:pageMargins b="1" l="0.75" r="0.75" t="1" header="0" footer="0"/>
    <c:pageSetup paperSize="9" orientation="landscape" horizontalDpi="200" verticalDpi="200" copies="0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a-DK"/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Antal af hvert køn</a:t>
            </a:r>
          </a:p>
        </c:rich>
      </c:tx>
      <c:layout>
        <c:manualLayout>
          <c:xMode val="edge"/>
          <c:yMode val="edge"/>
          <c:x val="0.30804670105891935"/>
          <c:y val="3.4582132564841501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2643706545677411"/>
          <c:y val="0.22190201729106629"/>
          <c:w val="0.84138119922144217"/>
          <c:h val="0.61095100864553309"/>
        </c:manualLayout>
      </c:layout>
      <c:barChart>
        <c:barDir val="col"/>
        <c:grouping val="clustered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Grafer!$L$4:$L$5</c:f>
              <c:strCache>
                <c:ptCount val="2"/>
                <c:pt idx="0">
                  <c:v>Piger</c:v>
                </c:pt>
                <c:pt idx="1">
                  <c:v>Drenge</c:v>
                </c:pt>
              </c:strCache>
            </c:strRef>
          </c:cat>
          <c:val>
            <c:numRef>
              <c:f>Grafer!$M$4:$M$5</c:f>
              <c:numCache>
                <c:formatCode>General</c:formatCode>
                <c:ptCount val="2"/>
                <c:pt idx="0">
                  <c:v>13</c:v>
                </c:pt>
                <c:pt idx="1">
                  <c:v>17</c:v>
                </c:pt>
              </c:numCache>
            </c:numRef>
          </c:val>
        </c:ser>
        <c:gapWidth val="100"/>
        <c:axId val="129088512"/>
        <c:axId val="129184512"/>
      </c:barChart>
      <c:catAx>
        <c:axId val="129088512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129184512"/>
        <c:crosses val="autoZero"/>
        <c:auto val="1"/>
        <c:lblAlgn val="ctr"/>
        <c:lblOffset val="100"/>
        <c:tickLblSkip val="1"/>
        <c:tickMarkSkip val="1"/>
      </c:catAx>
      <c:valAx>
        <c:axId val="129184512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1290885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a-DK"/>
    </a:p>
  </c:txPr>
  <c:printSettings>
    <c:headerFooter alignWithMargins="0"/>
    <c:pageMargins b="1" l="0.75" r="0.75" t="1" header="0" footer="0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a-DK"/>
  <c:chart>
    <c:plotArea>
      <c:layout>
        <c:manualLayout>
          <c:layoutTarget val="inner"/>
          <c:xMode val="edge"/>
          <c:yMode val="edge"/>
          <c:x val="6.6884229458915437E-2"/>
          <c:y val="7.3654390934844188E-2"/>
          <c:w val="0.72920123336915132"/>
          <c:h val="0.73087818696883855"/>
        </c:manualLayout>
      </c:layout>
      <c:scatterChart>
        <c:scatterStyle val="lineMarker"/>
        <c:ser>
          <c:idx val="0"/>
          <c:order val="0"/>
          <c:tx>
            <c:strRef>
              <c:f>Regression1!$B$1</c:f>
              <c:strCache>
                <c:ptCount val="1"/>
                <c:pt idx="0">
                  <c:v>Vægt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Regression1!$A$2:$A$18</c:f>
              <c:numCache>
                <c:formatCode>General</c:formatCode>
                <c:ptCount val="17"/>
                <c:pt idx="0">
                  <c:v>157</c:v>
                </c:pt>
                <c:pt idx="1">
                  <c:v>115</c:v>
                </c:pt>
                <c:pt idx="2">
                  <c:v>174</c:v>
                </c:pt>
                <c:pt idx="3">
                  <c:v>171</c:v>
                </c:pt>
                <c:pt idx="4">
                  <c:v>141</c:v>
                </c:pt>
                <c:pt idx="5">
                  <c:v>166</c:v>
                </c:pt>
                <c:pt idx="6">
                  <c:v>162</c:v>
                </c:pt>
                <c:pt idx="7">
                  <c:v>157</c:v>
                </c:pt>
                <c:pt idx="8">
                  <c:v>139</c:v>
                </c:pt>
                <c:pt idx="9">
                  <c:v>159</c:v>
                </c:pt>
                <c:pt idx="10">
                  <c:v>170</c:v>
                </c:pt>
                <c:pt idx="11">
                  <c:v>198</c:v>
                </c:pt>
                <c:pt idx="12">
                  <c:v>192</c:v>
                </c:pt>
                <c:pt idx="13">
                  <c:v>154</c:v>
                </c:pt>
                <c:pt idx="14">
                  <c:v>170</c:v>
                </c:pt>
                <c:pt idx="15">
                  <c:v>184</c:v>
                </c:pt>
                <c:pt idx="16">
                  <c:v>170</c:v>
                </c:pt>
              </c:numCache>
            </c:numRef>
          </c:xVal>
          <c:yVal>
            <c:numRef>
              <c:f>Regression1!$B$2:$B$18</c:f>
              <c:numCache>
                <c:formatCode>General</c:formatCode>
                <c:ptCount val="17"/>
                <c:pt idx="0">
                  <c:v>66</c:v>
                </c:pt>
                <c:pt idx="1">
                  <c:v>36</c:v>
                </c:pt>
                <c:pt idx="2">
                  <c:v>58</c:v>
                </c:pt>
                <c:pt idx="3">
                  <c:v>52</c:v>
                </c:pt>
                <c:pt idx="4">
                  <c:v>47</c:v>
                </c:pt>
                <c:pt idx="5">
                  <c:v>45</c:v>
                </c:pt>
                <c:pt idx="6">
                  <c:v>51</c:v>
                </c:pt>
                <c:pt idx="7">
                  <c:v>49</c:v>
                </c:pt>
                <c:pt idx="8">
                  <c:v>41</c:v>
                </c:pt>
                <c:pt idx="9">
                  <c:v>52</c:v>
                </c:pt>
                <c:pt idx="10">
                  <c:v>49</c:v>
                </c:pt>
                <c:pt idx="11">
                  <c:v>77</c:v>
                </c:pt>
                <c:pt idx="12">
                  <c:v>73</c:v>
                </c:pt>
                <c:pt idx="13">
                  <c:v>52</c:v>
                </c:pt>
                <c:pt idx="14">
                  <c:v>64</c:v>
                </c:pt>
                <c:pt idx="15">
                  <c:v>73</c:v>
                </c:pt>
                <c:pt idx="16">
                  <c:v>83</c:v>
                </c:pt>
              </c:numCache>
            </c:numRef>
          </c:yVal>
        </c:ser>
        <c:ser>
          <c:idx val="1"/>
          <c:order val="1"/>
          <c:tx>
            <c:strRef>
              <c:f>Regression1!$C$1</c:f>
              <c:strCache>
                <c:ptCount val="1"/>
                <c:pt idx="0">
                  <c:v>Prognose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Regression1!$A$2:$A$18</c:f>
              <c:numCache>
                <c:formatCode>General</c:formatCode>
                <c:ptCount val="17"/>
                <c:pt idx="0">
                  <c:v>157</c:v>
                </c:pt>
                <c:pt idx="1">
                  <c:v>115</c:v>
                </c:pt>
                <c:pt idx="2">
                  <c:v>174</c:v>
                </c:pt>
                <c:pt idx="3">
                  <c:v>171</c:v>
                </c:pt>
                <c:pt idx="4">
                  <c:v>141</c:v>
                </c:pt>
                <c:pt idx="5">
                  <c:v>166</c:v>
                </c:pt>
                <c:pt idx="6">
                  <c:v>162</c:v>
                </c:pt>
                <c:pt idx="7">
                  <c:v>157</c:v>
                </c:pt>
                <c:pt idx="8">
                  <c:v>139</c:v>
                </c:pt>
                <c:pt idx="9">
                  <c:v>159</c:v>
                </c:pt>
                <c:pt idx="10">
                  <c:v>170</c:v>
                </c:pt>
                <c:pt idx="11">
                  <c:v>198</c:v>
                </c:pt>
                <c:pt idx="12">
                  <c:v>192</c:v>
                </c:pt>
                <c:pt idx="13">
                  <c:v>154</c:v>
                </c:pt>
                <c:pt idx="14">
                  <c:v>170</c:v>
                </c:pt>
                <c:pt idx="15">
                  <c:v>184</c:v>
                </c:pt>
                <c:pt idx="16">
                  <c:v>170</c:v>
                </c:pt>
              </c:numCache>
            </c:numRef>
          </c:xVal>
          <c:yVal>
            <c:numRef>
              <c:f>Regression1!$C$2:$C$18</c:f>
              <c:numCache>
                <c:formatCode>0.00</c:formatCode>
                <c:ptCount val="17"/>
                <c:pt idx="0">
                  <c:v>53.606105321405522</c:v>
                </c:pt>
                <c:pt idx="1">
                  <c:v>31.958461680346765</c:v>
                </c:pt>
                <c:pt idx="2">
                  <c:v>62.368246795167394</c:v>
                </c:pt>
                <c:pt idx="3">
                  <c:v>60.821986535091767</c:v>
                </c:pt>
                <c:pt idx="4">
                  <c:v>45.359383934335511</c:v>
                </c:pt>
                <c:pt idx="5">
                  <c:v>58.244886101632389</c:v>
                </c:pt>
                <c:pt idx="6">
                  <c:v>56.183205754864886</c:v>
                </c:pt>
                <c:pt idx="7">
                  <c:v>53.606105321405522</c:v>
                </c:pt>
                <c:pt idx="8">
                  <c:v>44.32854376095176</c:v>
                </c:pt>
                <c:pt idx="9">
                  <c:v>54.636945494789273</c:v>
                </c:pt>
                <c:pt idx="10">
                  <c:v>60.306566448399892</c:v>
                </c:pt>
                <c:pt idx="11">
                  <c:v>74.738328875772396</c:v>
                </c:pt>
                <c:pt idx="12">
                  <c:v>71.645808355621142</c:v>
                </c:pt>
                <c:pt idx="13">
                  <c:v>52.059845061329895</c:v>
                </c:pt>
                <c:pt idx="14">
                  <c:v>60.306566448399892</c:v>
                </c:pt>
                <c:pt idx="15">
                  <c:v>67.522447662086137</c:v>
                </c:pt>
                <c:pt idx="16">
                  <c:v>60.306566448399892</c:v>
                </c:pt>
              </c:numCache>
            </c:numRef>
          </c:yVal>
        </c:ser>
        <c:axId val="129865984"/>
        <c:axId val="129880448"/>
      </c:scatterChart>
      <c:valAx>
        <c:axId val="129865984"/>
        <c:scaling>
          <c:orientation val="minMax"/>
          <c:min val="100"/>
        </c:scaling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Højde</a:t>
                </a:r>
              </a:p>
            </c:rich>
          </c:tx>
          <c:layout>
            <c:manualLayout>
              <c:xMode val="edge"/>
              <c:yMode val="edge"/>
              <c:x val="0.398042756890299"/>
              <c:y val="0.8923512747875354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129880448"/>
        <c:crosses val="autoZero"/>
        <c:crossBetween val="midCat"/>
      </c:valAx>
      <c:valAx>
        <c:axId val="129880448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129865984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83360590529772682"/>
          <c:y val="0.37960339943342775"/>
          <c:w val="0.98695028537419771"/>
          <c:h val="0.5014164305949008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a-DK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a-DK"/>
    </a:p>
  </c:txPr>
  <c:printSettings>
    <c:headerFooter alignWithMargins="0"/>
    <c:pageMargins b="1" l="0.75" r="0.75" t="1" header="0" footer="0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a-DK"/>
  <c:chart>
    <c:autoTitleDeleted val="1"/>
    <c:plotArea>
      <c:layout>
        <c:manualLayout>
          <c:layoutTarget val="inner"/>
          <c:xMode val="edge"/>
          <c:yMode val="edge"/>
          <c:x val="7.3170847895782348E-2"/>
          <c:y val="7.7381177284392685E-2"/>
          <c:w val="0.76260283695826503"/>
          <c:h val="0.77678797197024962"/>
        </c:manualLayout>
      </c:layout>
      <c:scatterChart>
        <c:scatterStyle val="lineMarker"/>
        <c:ser>
          <c:idx val="0"/>
          <c:order val="0"/>
          <c:tx>
            <c:strRef>
              <c:f>Regression1!$D$1</c:f>
              <c:strCache>
                <c:ptCount val="1"/>
                <c:pt idx="0">
                  <c:v>Residual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Regression1!$A$2:$A$18</c:f>
              <c:numCache>
                <c:formatCode>General</c:formatCode>
                <c:ptCount val="17"/>
                <c:pt idx="0">
                  <c:v>157</c:v>
                </c:pt>
                <c:pt idx="1">
                  <c:v>115</c:v>
                </c:pt>
                <c:pt idx="2">
                  <c:v>174</c:v>
                </c:pt>
                <c:pt idx="3">
                  <c:v>171</c:v>
                </c:pt>
                <c:pt idx="4">
                  <c:v>141</c:v>
                </c:pt>
                <c:pt idx="5">
                  <c:v>166</c:v>
                </c:pt>
                <c:pt idx="6">
                  <c:v>162</c:v>
                </c:pt>
                <c:pt idx="7">
                  <c:v>157</c:v>
                </c:pt>
                <c:pt idx="8">
                  <c:v>139</c:v>
                </c:pt>
                <c:pt idx="9">
                  <c:v>159</c:v>
                </c:pt>
                <c:pt idx="10">
                  <c:v>170</c:v>
                </c:pt>
                <c:pt idx="11">
                  <c:v>198</c:v>
                </c:pt>
                <c:pt idx="12">
                  <c:v>192</c:v>
                </c:pt>
                <c:pt idx="13">
                  <c:v>154</c:v>
                </c:pt>
                <c:pt idx="14">
                  <c:v>170</c:v>
                </c:pt>
                <c:pt idx="15">
                  <c:v>184</c:v>
                </c:pt>
                <c:pt idx="16">
                  <c:v>170</c:v>
                </c:pt>
              </c:numCache>
            </c:numRef>
          </c:xVal>
          <c:yVal>
            <c:numRef>
              <c:f>Regression1!$D$2:$D$18</c:f>
              <c:numCache>
                <c:formatCode>0.00</c:formatCode>
                <c:ptCount val="17"/>
                <c:pt idx="0">
                  <c:v>12.393894678594478</c:v>
                </c:pt>
                <c:pt idx="1">
                  <c:v>4.0415383196532346</c:v>
                </c:pt>
                <c:pt idx="2">
                  <c:v>-4.3682467951673942</c:v>
                </c:pt>
                <c:pt idx="3">
                  <c:v>-8.8219865350917672</c:v>
                </c:pt>
                <c:pt idx="4">
                  <c:v>1.6406160656644886</c:v>
                </c:pt>
                <c:pt idx="5">
                  <c:v>-13.244886101632389</c:v>
                </c:pt>
                <c:pt idx="6">
                  <c:v>-5.1832057548648862</c:v>
                </c:pt>
                <c:pt idx="7">
                  <c:v>-4.6061053214055221</c:v>
                </c:pt>
                <c:pt idx="8">
                  <c:v>-3.3285437609517601</c:v>
                </c:pt>
                <c:pt idx="9">
                  <c:v>-2.6369454947892734</c:v>
                </c:pt>
                <c:pt idx="10">
                  <c:v>-11.306566448399892</c:v>
                </c:pt>
                <c:pt idx="11">
                  <c:v>2.261671124227604</c:v>
                </c:pt>
                <c:pt idx="12">
                  <c:v>1.354191644378858</c:v>
                </c:pt>
                <c:pt idx="13">
                  <c:v>-5.9845061329895088E-2</c:v>
                </c:pt>
                <c:pt idx="14">
                  <c:v>3.6934335516001084</c:v>
                </c:pt>
                <c:pt idx="15">
                  <c:v>5.4775523379138633</c:v>
                </c:pt>
                <c:pt idx="16">
                  <c:v>22.693433551600108</c:v>
                </c:pt>
              </c:numCache>
            </c:numRef>
          </c:yVal>
        </c:ser>
        <c:axId val="129887232"/>
        <c:axId val="130192896"/>
      </c:scatterChart>
      <c:valAx>
        <c:axId val="129887232"/>
        <c:scaling>
          <c:orientation val="minMax"/>
          <c:min val="100"/>
        </c:scaling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Højde</a:t>
                </a:r>
              </a:p>
            </c:rich>
          </c:tx>
          <c:layout>
            <c:manualLayout>
              <c:xMode val="edge"/>
              <c:yMode val="edge"/>
              <c:x val="0.42113889422358786"/>
              <c:y val="0.88690726159230093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130192896"/>
        <c:crosses val="autoZero"/>
        <c:crossBetween val="midCat"/>
      </c:valAx>
      <c:valAx>
        <c:axId val="130192896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129887232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87317209739026513"/>
          <c:y val="0.43452505936757907"/>
          <c:w val="0.98699340631201571"/>
          <c:h val="0.50000156230471193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a-DK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a-DK"/>
    </a:p>
  </c:txPr>
  <c:printSettings>
    <c:headerFooter alignWithMargins="0"/>
    <c:pageMargins b="1" l="0.75" r="0.75" t="1" header="0" footer="0"/>
    <c:pageSetup paperSize="9" orientation="landscape" horizontalDpi="200" verticalDpi="200" copies="0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a-DK"/>
  <c:chart>
    <c:title>
      <c:layout>
        <c:manualLayout>
          <c:xMode val="edge"/>
          <c:yMode val="edge"/>
          <c:x val="0.44625407166123776"/>
          <c:y val="3.5031847133757961E-2"/>
        </c:manualLayout>
      </c:layout>
      <c:spPr>
        <a:noFill/>
        <a:ln w="25400">
          <a:noFill/>
        </a:ln>
      </c:spPr>
      <c:txPr>
        <a:bodyPr/>
        <a:lstStyle/>
        <a:p>
          <a:pPr>
            <a:defRPr sz="1125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da-DK"/>
        </a:p>
      </c:txPr>
    </c:title>
    <c:plotArea>
      <c:layout>
        <c:manualLayout>
          <c:layoutTarget val="inner"/>
          <c:xMode val="edge"/>
          <c:yMode val="edge"/>
          <c:x val="9.4462540716612378E-2"/>
          <c:y val="0.20382165605095542"/>
          <c:w val="0.71498371335504884"/>
          <c:h val="0.63057324840764328"/>
        </c:manualLayout>
      </c:layout>
      <c:scatterChart>
        <c:scatterStyle val="lineMarker"/>
        <c:ser>
          <c:idx val="0"/>
          <c:order val="0"/>
          <c:tx>
            <c:strRef>
              <c:f>Regression1!$D$1</c:f>
              <c:strCache>
                <c:ptCount val="1"/>
                <c:pt idx="0">
                  <c:v>Residual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Regression1!$C$2:$C$18</c:f>
              <c:numCache>
                <c:formatCode>0.00</c:formatCode>
                <c:ptCount val="17"/>
                <c:pt idx="0">
                  <c:v>53.606105321405522</c:v>
                </c:pt>
                <c:pt idx="1">
                  <c:v>31.958461680346765</c:v>
                </c:pt>
                <c:pt idx="2">
                  <c:v>62.368246795167394</c:v>
                </c:pt>
                <c:pt idx="3">
                  <c:v>60.821986535091767</c:v>
                </c:pt>
                <c:pt idx="4">
                  <c:v>45.359383934335511</c:v>
                </c:pt>
                <c:pt idx="5">
                  <c:v>58.244886101632389</c:v>
                </c:pt>
                <c:pt idx="6">
                  <c:v>56.183205754864886</c:v>
                </c:pt>
                <c:pt idx="7">
                  <c:v>53.606105321405522</c:v>
                </c:pt>
                <c:pt idx="8">
                  <c:v>44.32854376095176</c:v>
                </c:pt>
                <c:pt idx="9">
                  <c:v>54.636945494789273</c:v>
                </c:pt>
                <c:pt idx="10">
                  <c:v>60.306566448399892</c:v>
                </c:pt>
                <c:pt idx="11">
                  <c:v>74.738328875772396</c:v>
                </c:pt>
                <c:pt idx="12">
                  <c:v>71.645808355621142</c:v>
                </c:pt>
                <c:pt idx="13">
                  <c:v>52.059845061329895</c:v>
                </c:pt>
                <c:pt idx="14">
                  <c:v>60.306566448399892</c:v>
                </c:pt>
                <c:pt idx="15">
                  <c:v>67.522447662086137</c:v>
                </c:pt>
                <c:pt idx="16">
                  <c:v>60.306566448399892</c:v>
                </c:pt>
              </c:numCache>
            </c:numRef>
          </c:xVal>
          <c:yVal>
            <c:numRef>
              <c:f>Regression1!$D$2:$D$18</c:f>
              <c:numCache>
                <c:formatCode>0.00</c:formatCode>
                <c:ptCount val="17"/>
                <c:pt idx="0">
                  <c:v>12.393894678594478</c:v>
                </c:pt>
                <c:pt idx="1">
                  <c:v>4.0415383196532346</c:v>
                </c:pt>
                <c:pt idx="2">
                  <c:v>-4.3682467951673942</c:v>
                </c:pt>
                <c:pt idx="3">
                  <c:v>-8.8219865350917672</c:v>
                </c:pt>
                <c:pt idx="4">
                  <c:v>1.6406160656644886</c:v>
                </c:pt>
                <c:pt idx="5">
                  <c:v>-13.244886101632389</c:v>
                </c:pt>
                <c:pt idx="6">
                  <c:v>-5.1832057548648862</c:v>
                </c:pt>
                <c:pt idx="7">
                  <c:v>-4.6061053214055221</c:v>
                </c:pt>
                <c:pt idx="8">
                  <c:v>-3.3285437609517601</c:v>
                </c:pt>
                <c:pt idx="9">
                  <c:v>-2.6369454947892734</c:v>
                </c:pt>
                <c:pt idx="10">
                  <c:v>-11.306566448399892</c:v>
                </c:pt>
                <c:pt idx="11">
                  <c:v>2.261671124227604</c:v>
                </c:pt>
                <c:pt idx="12">
                  <c:v>1.354191644378858</c:v>
                </c:pt>
                <c:pt idx="13">
                  <c:v>-5.9845061329895088E-2</c:v>
                </c:pt>
                <c:pt idx="14">
                  <c:v>3.6934335516001084</c:v>
                </c:pt>
                <c:pt idx="15">
                  <c:v>5.4775523379138633</c:v>
                </c:pt>
                <c:pt idx="16">
                  <c:v>22.693433551600108</c:v>
                </c:pt>
              </c:numCache>
            </c:numRef>
          </c:yVal>
        </c:ser>
        <c:axId val="130212224"/>
        <c:axId val="130214528"/>
      </c:scatterChart>
      <c:valAx>
        <c:axId val="130212224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r>
                  <a:t>Prognose</a:t>
                </a:r>
              </a:p>
            </c:rich>
          </c:tx>
          <c:layout>
            <c:manualLayout>
              <c:xMode val="edge"/>
              <c:yMode val="edge"/>
              <c:x val="0.38436482084690554"/>
              <c:y val="0.87261146496815289"/>
            </c:manualLayout>
          </c:layout>
          <c:spPr>
            <a:noFill/>
            <a:ln w="25400">
              <a:noFill/>
            </a:ln>
          </c:spPr>
        </c:title>
        <c:numFmt formatCode="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da-DK"/>
          </a:p>
        </c:txPr>
        <c:crossAx val="130214528"/>
        <c:crosses val="autoZero"/>
        <c:crossBetween val="midCat"/>
      </c:valAx>
      <c:valAx>
        <c:axId val="130214528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da-DK"/>
          </a:p>
        </c:txPr>
        <c:crossAx val="130212224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84853420195439744"/>
          <c:y val="0.48089171974522293"/>
          <c:w val="0.98697068403908794"/>
          <c:h val="0.557324840764331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5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da-DK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da-DK"/>
    </a:p>
  </c:txPr>
  <c:printSettings>
    <c:headerFooter alignWithMargins="0"/>
    <c:pageMargins b="1" l="0.75" r="0.75" t="1" header="0.5" footer="0.5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a-DK"/>
  <c:chart>
    <c:title>
      <c:tx>
        <c:rich>
          <a:bodyPr/>
          <a:lstStyle/>
          <a:p>
            <a:pPr>
              <a:defRPr sz="17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Vægt  Residualplot</a:t>
            </a:r>
          </a:p>
        </c:rich>
      </c:tx>
      <c:layout>
        <c:manualLayout>
          <c:xMode val="edge"/>
          <c:yMode val="edge"/>
          <c:x val="0.29795216938664792"/>
          <c:y val="3.7288135593220341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5642486547236067"/>
          <c:y val="0.26440721730537819"/>
          <c:w val="0.78771092970010204"/>
          <c:h val="0.54237377908795537"/>
        </c:manualLayout>
      </c:layout>
      <c:scatterChart>
        <c:scatterStyle val="lineMarker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Data!$E$2:$E$31</c:f>
              <c:numCache>
                <c:formatCode>General</c:formatCode>
                <c:ptCount val="30"/>
                <c:pt idx="0">
                  <c:v>59</c:v>
                </c:pt>
                <c:pt idx="1">
                  <c:v>49</c:v>
                </c:pt>
                <c:pt idx="2">
                  <c:v>32</c:v>
                </c:pt>
                <c:pt idx="3">
                  <c:v>59</c:v>
                </c:pt>
                <c:pt idx="4">
                  <c:v>39</c:v>
                </c:pt>
                <c:pt idx="5">
                  <c:v>41</c:v>
                </c:pt>
                <c:pt idx="6">
                  <c:v>49</c:v>
                </c:pt>
                <c:pt idx="7">
                  <c:v>81</c:v>
                </c:pt>
                <c:pt idx="8">
                  <c:v>49</c:v>
                </c:pt>
                <c:pt idx="9">
                  <c:v>33</c:v>
                </c:pt>
                <c:pt idx="10">
                  <c:v>45</c:v>
                </c:pt>
                <c:pt idx="11">
                  <c:v>49</c:v>
                </c:pt>
                <c:pt idx="12">
                  <c:v>42</c:v>
                </c:pt>
                <c:pt idx="13">
                  <c:v>66</c:v>
                </c:pt>
                <c:pt idx="14">
                  <c:v>36</c:v>
                </c:pt>
                <c:pt idx="15">
                  <c:v>58</c:v>
                </c:pt>
                <c:pt idx="16">
                  <c:v>52</c:v>
                </c:pt>
                <c:pt idx="17">
                  <c:v>47</c:v>
                </c:pt>
                <c:pt idx="18">
                  <c:v>45</c:v>
                </c:pt>
                <c:pt idx="19">
                  <c:v>51</c:v>
                </c:pt>
                <c:pt idx="20">
                  <c:v>49</c:v>
                </c:pt>
                <c:pt idx="21">
                  <c:v>41</c:v>
                </c:pt>
                <c:pt idx="22">
                  <c:v>52</c:v>
                </c:pt>
                <c:pt idx="23">
                  <c:v>49</c:v>
                </c:pt>
                <c:pt idx="24">
                  <c:v>77</c:v>
                </c:pt>
                <c:pt idx="25">
                  <c:v>73</c:v>
                </c:pt>
                <c:pt idx="26">
                  <c:v>52</c:v>
                </c:pt>
                <c:pt idx="27">
                  <c:v>64</c:v>
                </c:pt>
                <c:pt idx="28">
                  <c:v>73</c:v>
                </c:pt>
                <c:pt idx="29">
                  <c:v>83</c:v>
                </c:pt>
              </c:numCache>
            </c:numRef>
          </c:xVal>
          <c:yVal>
            <c:numRef>
              <c:f>Regression2!$C$25:$C$54</c:f>
              <c:numCache>
                <c:formatCode>General</c:formatCode>
                <c:ptCount val="30"/>
                <c:pt idx="0">
                  <c:v>-15.511071002477934</c:v>
                </c:pt>
                <c:pt idx="1">
                  <c:v>8.5104958854660424</c:v>
                </c:pt>
                <c:pt idx="2">
                  <c:v>11.095830401664159</c:v>
                </c:pt>
                <c:pt idx="3">
                  <c:v>15.301006454770715</c:v>
                </c:pt>
                <c:pt idx="4">
                  <c:v>12.279439566826738</c:v>
                </c:pt>
                <c:pt idx="5">
                  <c:v>-19.105032273853624</c:v>
                </c:pt>
                <c:pt idx="6">
                  <c:v>1.8949677261463762</c:v>
                </c:pt>
                <c:pt idx="7">
                  <c:v>-8.694680167640513</c:v>
                </c:pt>
                <c:pt idx="8">
                  <c:v>18.707045183395024</c:v>
                </c:pt>
                <c:pt idx="9">
                  <c:v>19.91222123650158</c:v>
                </c:pt>
                <c:pt idx="10">
                  <c:v>11.082890268897756</c:v>
                </c:pt>
                <c:pt idx="11">
                  <c:v>13.903594481323978</c:v>
                </c:pt>
                <c:pt idx="12">
                  <c:v>-0.10934565144239627</c:v>
                </c:pt>
                <c:pt idx="13">
                  <c:v>7.501869130288469</c:v>
                </c:pt>
                <c:pt idx="14">
                  <c:v>-5.5240111352442796</c:v>
                </c:pt>
                <c:pt idx="15">
                  <c:v>3.0828902688977564</c:v>
                </c:pt>
                <c:pt idx="16">
                  <c:v>4.903594481323978</c:v>
                </c:pt>
                <c:pt idx="17">
                  <c:v>23.903594481323978</c:v>
                </c:pt>
                <c:pt idx="18">
                  <c:v>-3.4895041145339576</c:v>
                </c:pt>
                <c:pt idx="19">
                  <c:v>-1.096405518676022</c:v>
                </c:pt>
                <c:pt idx="20">
                  <c:v>-21.485190736945157</c:v>
                </c:pt>
                <c:pt idx="21">
                  <c:v>3.3010064547707145</c:v>
                </c:pt>
                <c:pt idx="22">
                  <c:v>17.903594481323978</c:v>
                </c:pt>
                <c:pt idx="23">
                  <c:v>-25.096405518676022</c:v>
                </c:pt>
                <c:pt idx="24">
                  <c:v>-7.8826027103918932</c:v>
                </c:pt>
                <c:pt idx="25">
                  <c:v>-13.68174003487411</c:v>
                </c:pt>
                <c:pt idx="26">
                  <c:v>-1.6989935452292855</c:v>
                </c:pt>
                <c:pt idx="27">
                  <c:v>-31.690366790051712</c:v>
                </c:pt>
                <c:pt idx="28">
                  <c:v>-22.925736486279789</c:v>
                </c:pt>
                <c:pt idx="29">
                  <c:v>4.7070451833950244</c:v>
                </c:pt>
              </c:numCache>
            </c:numRef>
          </c:yVal>
        </c:ser>
        <c:axId val="137726208"/>
        <c:axId val="137732864"/>
      </c:scatterChart>
      <c:valAx>
        <c:axId val="137726208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Vægt</a:t>
                </a:r>
              </a:p>
            </c:rich>
          </c:tx>
          <c:layout>
            <c:manualLayout>
              <c:xMode val="edge"/>
              <c:yMode val="edge"/>
              <c:x val="0.5065186684066727"/>
              <c:y val="0.85084888117798829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137732864"/>
        <c:crosses val="autoZero"/>
        <c:crossBetween val="midCat"/>
      </c:valAx>
      <c:valAx>
        <c:axId val="137732864"/>
        <c:scaling>
          <c:orientation val="minMax"/>
        </c:scaling>
        <c:axPos val="l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Residualer</a:t>
                </a:r>
              </a:p>
            </c:rich>
          </c:tx>
          <c:layout>
            <c:manualLayout>
              <c:xMode val="edge"/>
              <c:yMode val="edge"/>
              <c:x val="2.9795158286778398E-2"/>
              <c:y val="0.38644138974153652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137726208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a-DK"/>
    </a:p>
  </c:txPr>
  <c:printSettings>
    <c:headerFooter alignWithMargins="0"/>
    <c:pageMargins b="1" l="0.75" r="0.75" t="1" header="0" footer="0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a-DK"/>
  <c:chart>
    <c:title>
      <c:tx>
        <c:rich>
          <a:bodyPr/>
          <a:lstStyle/>
          <a:p>
            <a:pPr>
              <a:defRPr sz="17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Normalsandsynlighedsplot</a:t>
            </a:r>
          </a:p>
        </c:rich>
      </c:tx>
      <c:layout>
        <c:manualLayout>
          <c:xMode val="edge"/>
          <c:yMode val="edge"/>
          <c:x val="0.21561357804252163"/>
          <c:y val="3.7288135593220341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6356892168705864"/>
          <c:y val="0.26440721730537819"/>
          <c:w val="0.78066985350641616"/>
          <c:h val="0.46440754834406173"/>
        </c:manualLayout>
      </c:layout>
      <c:scatterChart>
        <c:scatterStyle val="lineMarker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xVal>
            <c:numRef>
              <c:f>Regression2!$F$25:$F$54</c:f>
              <c:numCache>
                <c:formatCode>General</c:formatCode>
                <c:ptCount val="30"/>
                <c:pt idx="0">
                  <c:v>1.6666666666666667</c:v>
                </c:pt>
                <c:pt idx="1">
                  <c:v>5</c:v>
                </c:pt>
                <c:pt idx="2">
                  <c:v>8.3333333333333339</c:v>
                </c:pt>
                <c:pt idx="3">
                  <c:v>11.666666666666666</c:v>
                </c:pt>
                <c:pt idx="4">
                  <c:v>15</c:v>
                </c:pt>
                <c:pt idx="5">
                  <c:v>18.333333333333336</c:v>
                </c:pt>
                <c:pt idx="6">
                  <c:v>21.666666666666668</c:v>
                </c:pt>
                <c:pt idx="7">
                  <c:v>25</c:v>
                </c:pt>
                <c:pt idx="8">
                  <c:v>28.333333333333336</c:v>
                </c:pt>
                <c:pt idx="9">
                  <c:v>31.666666666666668</c:v>
                </c:pt>
                <c:pt idx="10">
                  <c:v>35</c:v>
                </c:pt>
                <c:pt idx="11">
                  <c:v>38.333333333333336</c:v>
                </c:pt>
                <c:pt idx="12">
                  <c:v>41.666666666666664</c:v>
                </c:pt>
                <c:pt idx="13">
                  <c:v>45</c:v>
                </c:pt>
                <c:pt idx="14">
                  <c:v>48.333333333333336</c:v>
                </c:pt>
                <c:pt idx="15">
                  <c:v>51.666666666666664</c:v>
                </c:pt>
                <c:pt idx="16">
                  <c:v>55</c:v>
                </c:pt>
                <c:pt idx="17">
                  <c:v>58.333333333333336</c:v>
                </c:pt>
                <c:pt idx="18">
                  <c:v>61.666666666666664</c:v>
                </c:pt>
                <c:pt idx="19">
                  <c:v>65</c:v>
                </c:pt>
                <c:pt idx="20">
                  <c:v>68.333333333333343</c:v>
                </c:pt>
                <c:pt idx="21">
                  <c:v>71.666666666666671</c:v>
                </c:pt>
                <c:pt idx="22">
                  <c:v>75</c:v>
                </c:pt>
                <c:pt idx="23">
                  <c:v>78.333333333333343</c:v>
                </c:pt>
                <c:pt idx="24">
                  <c:v>81.666666666666671</c:v>
                </c:pt>
                <c:pt idx="25">
                  <c:v>85</c:v>
                </c:pt>
                <c:pt idx="26">
                  <c:v>88.333333333333343</c:v>
                </c:pt>
                <c:pt idx="27">
                  <c:v>91.666666666666671</c:v>
                </c:pt>
                <c:pt idx="28">
                  <c:v>95</c:v>
                </c:pt>
                <c:pt idx="29">
                  <c:v>98.333333333333343</c:v>
                </c:pt>
              </c:numCache>
            </c:numRef>
          </c:xVal>
          <c:yVal>
            <c:numRef>
              <c:f>Regression2!$G$25:$G$54</c:f>
              <c:numCache>
                <c:formatCode>General</c:formatCode>
                <c:ptCount val="30"/>
                <c:pt idx="0">
                  <c:v>112</c:v>
                </c:pt>
                <c:pt idx="1">
                  <c:v>115</c:v>
                </c:pt>
                <c:pt idx="2">
                  <c:v>118</c:v>
                </c:pt>
                <c:pt idx="3">
                  <c:v>125</c:v>
                </c:pt>
                <c:pt idx="4">
                  <c:v>127</c:v>
                </c:pt>
                <c:pt idx="5">
                  <c:v>139</c:v>
                </c:pt>
                <c:pt idx="6">
                  <c:v>141</c:v>
                </c:pt>
                <c:pt idx="7">
                  <c:v>145</c:v>
                </c:pt>
                <c:pt idx="8">
                  <c:v>151</c:v>
                </c:pt>
                <c:pt idx="9">
                  <c:v>151</c:v>
                </c:pt>
                <c:pt idx="10">
                  <c:v>152</c:v>
                </c:pt>
                <c:pt idx="11">
                  <c:v>154</c:v>
                </c:pt>
                <c:pt idx="12">
                  <c:v>157</c:v>
                </c:pt>
                <c:pt idx="13">
                  <c:v>157</c:v>
                </c:pt>
                <c:pt idx="14">
                  <c:v>159</c:v>
                </c:pt>
                <c:pt idx="15">
                  <c:v>160</c:v>
                </c:pt>
                <c:pt idx="16">
                  <c:v>162</c:v>
                </c:pt>
                <c:pt idx="17">
                  <c:v>166</c:v>
                </c:pt>
                <c:pt idx="18">
                  <c:v>166</c:v>
                </c:pt>
                <c:pt idx="19">
                  <c:v>166</c:v>
                </c:pt>
                <c:pt idx="20">
                  <c:v>170</c:v>
                </c:pt>
                <c:pt idx="21">
                  <c:v>170</c:v>
                </c:pt>
                <c:pt idx="22">
                  <c:v>170</c:v>
                </c:pt>
                <c:pt idx="23">
                  <c:v>171</c:v>
                </c:pt>
                <c:pt idx="24">
                  <c:v>174</c:v>
                </c:pt>
                <c:pt idx="25">
                  <c:v>176</c:v>
                </c:pt>
                <c:pt idx="26">
                  <c:v>184</c:v>
                </c:pt>
                <c:pt idx="27">
                  <c:v>185</c:v>
                </c:pt>
                <c:pt idx="28">
                  <c:v>192</c:v>
                </c:pt>
                <c:pt idx="29">
                  <c:v>198</c:v>
                </c:pt>
              </c:numCache>
            </c:numRef>
          </c:yVal>
        </c:ser>
        <c:axId val="137757824"/>
        <c:axId val="137759744"/>
      </c:scatterChart>
      <c:valAx>
        <c:axId val="137757824"/>
        <c:scaling>
          <c:orientation val="minMax"/>
          <c:max val="100"/>
        </c:scaling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Stikprøvefraktil</a:t>
                </a:r>
              </a:p>
            </c:rich>
          </c:tx>
          <c:layout>
            <c:manualLayout>
              <c:xMode val="edge"/>
              <c:yMode val="edge"/>
              <c:x val="0.44237957244192055"/>
              <c:y val="0.85084888117798829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137759744"/>
        <c:crosses val="autoZero"/>
        <c:crossBetween val="midCat"/>
        <c:majorUnit val="10"/>
        <c:minorUnit val="2"/>
      </c:valAx>
      <c:valAx>
        <c:axId val="137759744"/>
        <c:scaling>
          <c:orientation val="minMax"/>
        </c:scaling>
        <c:axPos val="l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Højde</a:t>
                </a:r>
              </a:p>
            </c:rich>
          </c:tx>
          <c:layout>
            <c:manualLayout>
              <c:xMode val="edge"/>
              <c:yMode val="edge"/>
              <c:x val="2.9739776951672861E-2"/>
              <c:y val="0.41017020330085857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137757824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a-DK"/>
    </a:p>
  </c:txPr>
  <c:printSettings>
    <c:headerFooter alignWithMargins="0"/>
    <c:pageMargins b="1" l="0.75" r="0.75" t="1" header="0" footer="0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a-DK"/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Vægt vs. højde</a:t>
            </a:r>
          </a:p>
        </c:rich>
      </c:tx>
      <c:layout>
        <c:manualLayout>
          <c:xMode val="edge"/>
          <c:yMode val="edge"/>
          <c:x val="0.40000077768056769"/>
          <c:y val="3.6303630363036306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1851873285361121"/>
          <c:y val="0.20462112153568976"/>
          <c:w val="0.83333484037695382"/>
          <c:h val="0.57425927656790354"/>
        </c:manualLayout>
      </c:layout>
      <c:scatterChart>
        <c:scatterStyle val="lineMarker"/>
        <c:ser>
          <c:idx val="0"/>
          <c:order val="0"/>
          <c:tx>
            <c:strRef>
              <c:f>Data!$E$1</c:f>
              <c:strCache>
                <c:ptCount val="1"/>
                <c:pt idx="0">
                  <c:v>Vægt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xVal>
            <c:numRef>
              <c:f>Data!$D$2:$D$31</c:f>
              <c:numCache>
                <c:formatCode>General</c:formatCode>
                <c:ptCount val="30"/>
                <c:pt idx="0">
                  <c:v>145</c:v>
                </c:pt>
                <c:pt idx="1">
                  <c:v>151</c:v>
                </c:pt>
                <c:pt idx="2">
                  <c:v>118</c:v>
                </c:pt>
                <c:pt idx="3">
                  <c:v>166</c:v>
                </c:pt>
                <c:pt idx="4">
                  <c:v>160</c:v>
                </c:pt>
                <c:pt idx="5">
                  <c:v>151</c:v>
                </c:pt>
                <c:pt idx="6">
                  <c:v>166</c:v>
                </c:pt>
                <c:pt idx="7">
                  <c:v>185</c:v>
                </c:pt>
                <c:pt idx="8">
                  <c:v>176</c:v>
                </c:pt>
                <c:pt idx="9">
                  <c:v>125</c:v>
                </c:pt>
                <c:pt idx="10">
                  <c:v>152</c:v>
                </c:pt>
                <c:pt idx="11">
                  <c:v>127</c:v>
                </c:pt>
                <c:pt idx="12">
                  <c:v>112</c:v>
                </c:pt>
                <c:pt idx="13">
                  <c:v>157</c:v>
                </c:pt>
                <c:pt idx="14">
                  <c:v>115</c:v>
                </c:pt>
                <c:pt idx="15">
                  <c:v>174</c:v>
                </c:pt>
                <c:pt idx="16">
                  <c:v>171</c:v>
                </c:pt>
                <c:pt idx="17">
                  <c:v>141</c:v>
                </c:pt>
                <c:pt idx="18">
                  <c:v>166</c:v>
                </c:pt>
                <c:pt idx="19">
                  <c:v>162</c:v>
                </c:pt>
                <c:pt idx="20">
                  <c:v>157</c:v>
                </c:pt>
                <c:pt idx="21">
                  <c:v>139</c:v>
                </c:pt>
                <c:pt idx="22">
                  <c:v>159</c:v>
                </c:pt>
                <c:pt idx="23">
                  <c:v>170</c:v>
                </c:pt>
                <c:pt idx="24">
                  <c:v>198</c:v>
                </c:pt>
                <c:pt idx="25">
                  <c:v>192</c:v>
                </c:pt>
                <c:pt idx="26">
                  <c:v>154</c:v>
                </c:pt>
                <c:pt idx="27">
                  <c:v>170</c:v>
                </c:pt>
                <c:pt idx="28">
                  <c:v>184</c:v>
                </c:pt>
                <c:pt idx="29">
                  <c:v>170</c:v>
                </c:pt>
              </c:numCache>
            </c:numRef>
          </c:xVal>
          <c:yVal>
            <c:numRef>
              <c:f>Data!$E$2:$E$31</c:f>
              <c:numCache>
                <c:formatCode>General</c:formatCode>
                <c:ptCount val="30"/>
                <c:pt idx="0">
                  <c:v>59</c:v>
                </c:pt>
                <c:pt idx="1">
                  <c:v>49</c:v>
                </c:pt>
                <c:pt idx="2">
                  <c:v>32</c:v>
                </c:pt>
                <c:pt idx="3">
                  <c:v>59</c:v>
                </c:pt>
                <c:pt idx="4">
                  <c:v>39</c:v>
                </c:pt>
                <c:pt idx="5">
                  <c:v>41</c:v>
                </c:pt>
                <c:pt idx="6">
                  <c:v>49</c:v>
                </c:pt>
                <c:pt idx="7">
                  <c:v>81</c:v>
                </c:pt>
                <c:pt idx="8">
                  <c:v>49</c:v>
                </c:pt>
                <c:pt idx="9">
                  <c:v>33</c:v>
                </c:pt>
                <c:pt idx="10">
                  <c:v>45</c:v>
                </c:pt>
                <c:pt idx="11">
                  <c:v>49</c:v>
                </c:pt>
                <c:pt idx="12">
                  <c:v>42</c:v>
                </c:pt>
                <c:pt idx="13">
                  <c:v>66</c:v>
                </c:pt>
                <c:pt idx="14">
                  <c:v>36</c:v>
                </c:pt>
                <c:pt idx="15">
                  <c:v>58</c:v>
                </c:pt>
                <c:pt idx="16">
                  <c:v>52</c:v>
                </c:pt>
                <c:pt idx="17">
                  <c:v>47</c:v>
                </c:pt>
                <c:pt idx="18">
                  <c:v>45</c:v>
                </c:pt>
                <c:pt idx="19">
                  <c:v>51</c:v>
                </c:pt>
                <c:pt idx="20">
                  <c:v>49</c:v>
                </c:pt>
                <c:pt idx="21">
                  <c:v>41</c:v>
                </c:pt>
                <c:pt idx="22">
                  <c:v>52</c:v>
                </c:pt>
                <c:pt idx="23">
                  <c:v>49</c:v>
                </c:pt>
                <c:pt idx="24">
                  <c:v>77</c:v>
                </c:pt>
                <c:pt idx="25">
                  <c:v>73</c:v>
                </c:pt>
                <c:pt idx="26">
                  <c:v>52</c:v>
                </c:pt>
                <c:pt idx="27">
                  <c:v>64</c:v>
                </c:pt>
                <c:pt idx="28">
                  <c:v>73</c:v>
                </c:pt>
                <c:pt idx="29">
                  <c:v>83</c:v>
                </c:pt>
              </c:numCache>
            </c:numRef>
          </c:yVal>
        </c:ser>
        <c:axId val="137788800"/>
        <c:axId val="137795072"/>
      </c:scatterChart>
      <c:valAx>
        <c:axId val="137788800"/>
        <c:scaling>
          <c:orientation val="minMax"/>
          <c:max val="200"/>
          <c:min val="100"/>
        </c:scaling>
        <c:axPos val="b"/>
        <c:title>
          <c:tx>
            <c:rich>
              <a:bodyPr/>
              <a:lstStyle/>
              <a:p>
                <a:pPr>
                  <a:defRPr sz="8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Højde</a:t>
                </a:r>
              </a:p>
            </c:rich>
          </c:tx>
          <c:layout>
            <c:manualLayout>
              <c:xMode val="edge"/>
              <c:yMode val="edge"/>
              <c:x val="0.50185282395256148"/>
              <c:y val="0.87789056070961424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137795072"/>
        <c:crosses val="autoZero"/>
        <c:crossBetween val="midCat"/>
        <c:majorUnit val="10"/>
        <c:minorUnit val="1"/>
      </c:valAx>
      <c:valAx>
        <c:axId val="137795072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Vægt</a:t>
                </a:r>
              </a:p>
            </c:rich>
          </c:tx>
          <c:layout>
            <c:manualLayout>
              <c:xMode val="edge"/>
              <c:yMode val="edge"/>
              <c:x val="2.9629629629629631E-2"/>
              <c:y val="0.43564495032180384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137788800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a-DK"/>
    </a:p>
  </c:txPr>
  <c:printSettings>
    <c:headerFooter alignWithMargins="0"/>
    <c:pageMargins b="1" l="0.75" r="0.75" t="1" header="0" footer="0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a-DK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Histogram</a:t>
            </a:r>
          </a:p>
        </c:rich>
      </c:tx>
      <c:layout>
        <c:manualLayout>
          <c:xMode val="edge"/>
          <c:yMode val="edge"/>
          <c:x val="0.42657342657342656"/>
          <c:y val="3.7037037037037035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0139860139860139"/>
          <c:y val="0.22558996734916664"/>
          <c:w val="0.87412587412587417"/>
          <c:h val="0.54208932452560932"/>
        </c:manualLayout>
      </c:layout>
      <c:barChart>
        <c:barDir val="col"/>
        <c:grouping val="clustered"/>
        <c:ser>
          <c:idx val="0"/>
          <c:order val="0"/>
          <c:tx>
            <c:v>Hyppighed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't-test'!$K$42:$K$46</c:f>
              <c:numCache>
                <c:formatCode>General</c:formatCode>
                <c:ptCount val="5"/>
                <c:pt idx="0">
                  <c:v>-1</c:v>
                </c:pt>
                <c:pt idx="1">
                  <c:v>0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</c:numCache>
            </c:numRef>
          </c:cat>
          <c:val>
            <c:numRef>
              <c:f>'t-test'!$L$42:$L$47</c:f>
              <c:numCache>
                <c:formatCode>General</c:formatCode>
                <c:ptCount val="6"/>
                <c:pt idx="0">
                  <c:v>2</c:v>
                </c:pt>
                <c:pt idx="1">
                  <c:v>2</c:v>
                </c:pt>
                <c:pt idx="2">
                  <c:v>5</c:v>
                </c:pt>
                <c:pt idx="3">
                  <c:v>3</c:v>
                </c:pt>
                <c:pt idx="4">
                  <c:v>1</c:v>
                </c:pt>
                <c:pt idx="5">
                  <c:v>0</c:v>
                </c:pt>
              </c:numCache>
            </c:numRef>
          </c:val>
        </c:ser>
        <c:axId val="152724992"/>
        <c:axId val="152726912"/>
      </c:barChart>
      <c:catAx>
        <c:axId val="152724992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Interval</a:t>
                </a:r>
              </a:p>
            </c:rich>
          </c:tx>
          <c:layout>
            <c:manualLayout>
              <c:xMode val="edge"/>
              <c:yMode val="edge"/>
              <c:x val="0.49300699300699302"/>
              <c:y val="0.87205669998320923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152726912"/>
        <c:crosses val="autoZero"/>
        <c:auto val="1"/>
        <c:lblAlgn val="ctr"/>
        <c:lblOffset val="100"/>
        <c:tickLblSkip val="1"/>
        <c:tickMarkSkip val="1"/>
      </c:catAx>
      <c:valAx>
        <c:axId val="152726912"/>
        <c:scaling>
          <c:orientation val="minMax"/>
        </c:scaling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Hyppighed</a:t>
                </a:r>
              </a:p>
            </c:rich>
          </c:tx>
          <c:layout>
            <c:manualLayout>
              <c:xMode val="edge"/>
              <c:yMode val="edge"/>
              <c:x val="2.7972027972027972E-2"/>
              <c:y val="0.37373843421087516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15272499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a-DK"/>
    </a:p>
  </c:txPr>
  <c:printSettings>
    <c:headerFooter alignWithMargins="0"/>
    <c:pageMargins b="1" l="0.75" r="0.75" t="1" header="0" footer="0"/>
    <c:pageSetup paperSize="9" orientation="landscape" horizontalDpi="200" verticalDpi="200" copies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a-DK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Middelvægt vs. alder</a:t>
            </a:r>
          </a:p>
        </c:rich>
      </c:tx>
      <c:layout>
        <c:manualLayout>
          <c:xMode val="edge"/>
          <c:yMode val="edge"/>
          <c:x val="0.37264200465507846"/>
          <c:y val="3.6423841059602648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6.4465507790247567E-2"/>
          <c:y val="0.22185430463576158"/>
          <c:w val="0.80660501210724389"/>
          <c:h val="0.54966887417218546"/>
        </c:manualLayout>
      </c:layout>
      <c:scatterChart>
        <c:scatterStyle val="lineMarker"/>
        <c:ser>
          <c:idx val="1"/>
          <c:order val="0"/>
          <c:tx>
            <c:strRef>
              <c:f>Data!$H$51</c:f>
              <c:strCache>
                <c:ptCount val="1"/>
                <c:pt idx="0">
                  <c:v>Middelvægt</c:v>
                </c:pt>
              </c:strCache>
            </c:strRef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square"/>
            <c:size val="2"/>
            <c:spPr>
              <a:noFill/>
              <a:ln w="9525">
                <a:noFill/>
              </a:ln>
            </c:spPr>
          </c:marker>
          <c:xVal>
            <c:numRef>
              <c:f>Data!$G$52:$G$57</c:f>
              <c:numCache>
                <c:formatCode>General</c:formatCode>
                <c:ptCount val="6"/>
                <c:pt idx="0">
                  <c:v>12</c:v>
                </c:pt>
                <c:pt idx="1">
                  <c:v>13</c:v>
                </c:pt>
                <c:pt idx="2">
                  <c:v>14</c:v>
                </c:pt>
                <c:pt idx="3">
                  <c:v>15</c:v>
                </c:pt>
                <c:pt idx="4">
                  <c:v>16</c:v>
                </c:pt>
                <c:pt idx="5">
                  <c:v>17</c:v>
                </c:pt>
              </c:numCache>
            </c:numRef>
          </c:xVal>
          <c:yVal>
            <c:numRef>
              <c:f>Data!$H$52:$H$57</c:f>
              <c:numCache>
                <c:formatCode>0.00</c:formatCode>
                <c:ptCount val="6"/>
                <c:pt idx="0">
                  <c:v>48.4</c:v>
                </c:pt>
                <c:pt idx="1">
                  <c:v>50</c:v>
                </c:pt>
                <c:pt idx="2">
                  <c:v>49.5</c:v>
                </c:pt>
                <c:pt idx="3">
                  <c:v>61.75</c:v>
                </c:pt>
                <c:pt idx="4">
                  <c:v>56.5</c:v>
                </c:pt>
                <c:pt idx="5">
                  <c:v>66</c:v>
                </c:pt>
              </c:numCache>
            </c:numRef>
          </c:yVal>
        </c:ser>
        <c:axId val="83425920"/>
        <c:axId val="101155968"/>
      </c:scatterChart>
      <c:valAx>
        <c:axId val="83425920"/>
        <c:scaling>
          <c:orientation val="minMax"/>
          <c:max val="17"/>
          <c:min val="12"/>
        </c:scaling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Alder</a:t>
                </a:r>
              </a:p>
            </c:rich>
          </c:tx>
          <c:layout>
            <c:manualLayout>
              <c:xMode val="edge"/>
              <c:yMode val="edge"/>
              <c:x val="0.43710757853381532"/>
              <c:y val="0.8741721854304636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101155968"/>
        <c:crosses val="autoZero"/>
        <c:crossBetween val="midCat"/>
        <c:majorUnit val="1"/>
        <c:minorUnit val="0.4"/>
      </c:valAx>
      <c:valAx>
        <c:axId val="101155968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83425920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wMode val="edge"/>
          <c:hMode val="edge"/>
          <c:x val="7.8616352201257862E-3"/>
          <c:y val="5.9602649006622516E-2"/>
          <c:w val="0.16666683174037206"/>
          <c:h val="0.1324503311258278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a-DK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a-DK"/>
    </a:p>
  </c:txPr>
  <c:printSettings>
    <c:headerFooter alignWithMargins="0"/>
    <c:pageMargins b="1" l="0.75" r="0.75" t="1" header="0" footer="0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a-DK"/>
  <c:chart>
    <c:plotArea>
      <c:layout>
        <c:manualLayout>
          <c:layoutTarget val="inner"/>
          <c:xMode val="edge"/>
          <c:yMode val="edge"/>
          <c:x val="6.3786136401540808E-2"/>
          <c:y val="7.4626865671641784E-2"/>
          <c:w val="0.751030315695561"/>
          <c:h val="0.80298507462686564"/>
        </c:manualLayout>
      </c:layout>
      <c:barChart>
        <c:barDir val="col"/>
        <c:grouping val="clustered"/>
        <c:ser>
          <c:idx val="0"/>
          <c:order val="0"/>
          <c:tx>
            <c:strRef>
              <c:f>'t-test'!$B$76</c:f>
              <c:strCache>
                <c:ptCount val="1"/>
                <c:pt idx="0">
                  <c:v>Piger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't-test'!$A$77:$A$80</c:f>
              <c:numCache>
                <c:formatCode>General</c:formatCode>
                <c:ptCount val="4"/>
                <c:pt idx="0">
                  <c:v>20</c:v>
                </c:pt>
                <c:pt idx="1">
                  <c:v>25</c:v>
                </c:pt>
                <c:pt idx="2">
                  <c:v>30</c:v>
                </c:pt>
                <c:pt idx="3">
                  <c:v>35</c:v>
                </c:pt>
              </c:numCache>
            </c:numRef>
          </c:cat>
          <c:val>
            <c:numRef>
              <c:f>'t-test'!$B$77:$B$80</c:f>
              <c:numCache>
                <c:formatCode>General</c:formatCode>
                <c:ptCount val="4"/>
                <c:pt idx="0">
                  <c:v>5</c:v>
                </c:pt>
                <c:pt idx="1">
                  <c:v>5</c:v>
                </c:pt>
                <c:pt idx="2">
                  <c:v>1</c:v>
                </c:pt>
                <c:pt idx="3">
                  <c:v>2</c:v>
                </c:pt>
              </c:numCache>
            </c:numRef>
          </c:val>
        </c:ser>
        <c:ser>
          <c:idx val="1"/>
          <c:order val="1"/>
          <c:tx>
            <c:strRef>
              <c:f>'t-test'!$C$76</c:f>
              <c:strCache>
                <c:ptCount val="1"/>
                <c:pt idx="0">
                  <c:v>Drenge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't-test'!$A$77:$A$80</c:f>
              <c:numCache>
                <c:formatCode>General</c:formatCode>
                <c:ptCount val="4"/>
                <c:pt idx="0">
                  <c:v>20</c:v>
                </c:pt>
                <c:pt idx="1">
                  <c:v>25</c:v>
                </c:pt>
                <c:pt idx="2">
                  <c:v>30</c:v>
                </c:pt>
                <c:pt idx="3">
                  <c:v>35</c:v>
                </c:pt>
              </c:numCache>
            </c:numRef>
          </c:cat>
          <c:val>
            <c:numRef>
              <c:f>'t-test'!$C$77:$C$80</c:f>
              <c:numCache>
                <c:formatCode>General</c:formatCode>
                <c:ptCount val="4"/>
                <c:pt idx="0">
                  <c:v>8</c:v>
                </c:pt>
                <c:pt idx="1">
                  <c:v>6</c:v>
                </c:pt>
                <c:pt idx="2">
                  <c:v>3</c:v>
                </c:pt>
                <c:pt idx="3">
                  <c:v>0</c:v>
                </c:pt>
              </c:numCache>
            </c:numRef>
          </c:val>
        </c:ser>
        <c:axId val="152834048"/>
        <c:axId val="152835584"/>
      </c:barChart>
      <c:catAx>
        <c:axId val="152834048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152835584"/>
        <c:crosses val="autoZero"/>
        <c:auto val="1"/>
        <c:lblAlgn val="ctr"/>
        <c:lblOffset val="100"/>
        <c:tickLblSkip val="1"/>
        <c:tickMarkSkip val="1"/>
      </c:catAx>
      <c:valAx>
        <c:axId val="152835584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15283404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60905479407666641"/>
          <c:y val="0.12238805970149254"/>
          <c:w val="0.74691509240357301"/>
          <c:h val="0.28955223880597014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a-DK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a-DK"/>
    </a:p>
  </c:txPr>
  <c:printSettings>
    <c:headerFooter alignWithMargins="0"/>
    <c:pageMargins b="1" l="0.75" r="0.7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a-DK"/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Middelvægt vs. alder</a:t>
            </a:r>
          </a:p>
        </c:rich>
      </c:tx>
      <c:layout>
        <c:manualLayout>
          <c:xMode val="edge"/>
          <c:yMode val="edge"/>
          <c:x val="0.35925984251968501"/>
          <c:y val="3.6303630363036306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7.5926063234344685E-2"/>
          <c:y val="0.20792146220562024"/>
          <c:w val="0.78889031555684963"/>
          <c:h val="0.57095893589797309"/>
        </c:manualLayout>
      </c:layout>
      <c:scatterChart>
        <c:scatterStyle val="lineMarker"/>
        <c:ser>
          <c:idx val="1"/>
          <c:order val="0"/>
          <c:tx>
            <c:strRef>
              <c:f>Data!$H$51</c:f>
              <c:strCache>
                <c:ptCount val="1"/>
                <c:pt idx="0">
                  <c:v>Middelvægt</c:v>
                </c:pt>
              </c:strCache>
            </c:strRef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square"/>
            <c:size val="2"/>
            <c:spPr>
              <a:noFill/>
              <a:ln w="9525">
                <a:noFill/>
              </a:ln>
            </c:spPr>
          </c:marker>
          <c:xVal>
            <c:numRef>
              <c:f>Data!$G$52:$G$57</c:f>
              <c:numCache>
                <c:formatCode>General</c:formatCode>
                <c:ptCount val="6"/>
                <c:pt idx="0">
                  <c:v>12</c:v>
                </c:pt>
                <c:pt idx="1">
                  <c:v>13</c:v>
                </c:pt>
                <c:pt idx="2">
                  <c:v>14</c:v>
                </c:pt>
                <c:pt idx="3">
                  <c:v>15</c:v>
                </c:pt>
                <c:pt idx="4">
                  <c:v>16</c:v>
                </c:pt>
                <c:pt idx="5">
                  <c:v>17</c:v>
                </c:pt>
              </c:numCache>
            </c:numRef>
          </c:xVal>
          <c:yVal>
            <c:numRef>
              <c:f>Data!$H$52:$H$57</c:f>
              <c:numCache>
                <c:formatCode>0.00</c:formatCode>
                <c:ptCount val="6"/>
                <c:pt idx="0">
                  <c:v>48.4</c:v>
                </c:pt>
                <c:pt idx="1">
                  <c:v>50</c:v>
                </c:pt>
                <c:pt idx="2">
                  <c:v>49.5</c:v>
                </c:pt>
                <c:pt idx="3">
                  <c:v>61.75</c:v>
                </c:pt>
                <c:pt idx="4">
                  <c:v>56.5</c:v>
                </c:pt>
                <c:pt idx="5">
                  <c:v>66</c:v>
                </c:pt>
              </c:numCache>
            </c:numRef>
          </c:yVal>
        </c:ser>
        <c:axId val="128807296"/>
        <c:axId val="128809600"/>
      </c:scatterChart>
      <c:valAx>
        <c:axId val="128807296"/>
        <c:scaling>
          <c:orientation val="minMax"/>
          <c:max val="17"/>
          <c:min val="12"/>
        </c:scaling>
        <c:axPos val="b"/>
        <c:title>
          <c:tx>
            <c:rich>
              <a:bodyPr/>
              <a:lstStyle/>
              <a:p>
                <a:pPr>
                  <a:defRPr sz="8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Alder</a:t>
                </a:r>
              </a:p>
            </c:rich>
          </c:tx>
          <c:layout>
            <c:manualLayout>
              <c:xMode val="edge"/>
              <c:yMode val="edge"/>
              <c:x val="0.43888966656945655"/>
              <c:y val="0.87789056070961424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128809600"/>
        <c:crosses val="autoZero"/>
        <c:crossBetween val="midCat"/>
        <c:majorUnit val="1"/>
        <c:minorUnit val="0.4"/>
      </c:valAx>
      <c:valAx>
        <c:axId val="128809600"/>
        <c:scaling>
          <c:orientation val="minMax"/>
          <c:min val="45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128807296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wMode val="edge"/>
          <c:hMode val="edge"/>
          <c:x val="9.2592592592592587E-3"/>
          <c:y val="5.6105957052398153E-2"/>
          <c:w val="0.18888927772917272"/>
          <c:h val="0.1254132342368095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a-DK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a-DK"/>
    </a:p>
  </c:txPr>
  <c:printSettings>
    <c:headerFooter alignWithMargins="0"/>
    <c:pageMargins b="1" l="0.75" r="0.75" t="1" header="0" footer="0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a-DK"/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Vægt vs. højde</a:t>
            </a:r>
          </a:p>
        </c:rich>
      </c:tx>
      <c:layout>
        <c:manualLayout>
          <c:xMode val="edge"/>
          <c:yMode val="edge"/>
          <c:x val="0.40000077768056769"/>
          <c:y val="3.0805687203791468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1851873285361121"/>
          <c:y val="0.15876777251184834"/>
          <c:w val="0.83333484037695382"/>
          <c:h val="0.68246445497630337"/>
        </c:manualLayout>
      </c:layout>
      <c:scatterChart>
        <c:scatterStyle val="lineMarker"/>
        <c:ser>
          <c:idx val="0"/>
          <c:order val="0"/>
          <c:tx>
            <c:strRef>
              <c:f>Data!$E$1</c:f>
              <c:strCache>
                <c:ptCount val="1"/>
                <c:pt idx="0">
                  <c:v>Vægt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Data!$D$2:$D$31</c:f>
              <c:numCache>
                <c:formatCode>General</c:formatCode>
                <c:ptCount val="30"/>
                <c:pt idx="0">
                  <c:v>145</c:v>
                </c:pt>
                <c:pt idx="1">
                  <c:v>151</c:v>
                </c:pt>
                <c:pt idx="2">
                  <c:v>118</c:v>
                </c:pt>
                <c:pt idx="3">
                  <c:v>166</c:v>
                </c:pt>
                <c:pt idx="4">
                  <c:v>160</c:v>
                </c:pt>
                <c:pt idx="5">
                  <c:v>151</c:v>
                </c:pt>
                <c:pt idx="6">
                  <c:v>166</c:v>
                </c:pt>
                <c:pt idx="7">
                  <c:v>185</c:v>
                </c:pt>
                <c:pt idx="8">
                  <c:v>176</c:v>
                </c:pt>
                <c:pt idx="9">
                  <c:v>125</c:v>
                </c:pt>
                <c:pt idx="10">
                  <c:v>152</c:v>
                </c:pt>
                <c:pt idx="11">
                  <c:v>127</c:v>
                </c:pt>
                <c:pt idx="12">
                  <c:v>112</c:v>
                </c:pt>
                <c:pt idx="13">
                  <c:v>157</c:v>
                </c:pt>
                <c:pt idx="14">
                  <c:v>115</c:v>
                </c:pt>
                <c:pt idx="15">
                  <c:v>174</c:v>
                </c:pt>
                <c:pt idx="16">
                  <c:v>171</c:v>
                </c:pt>
                <c:pt idx="17">
                  <c:v>141</c:v>
                </c:pt>
                <c:pt idx="18">
                  <c:v>166</c:v>
                </c:pt>
                <c:pt idx="19">
                  <c:v>162</c:v>
                </c:pt>
                <c:pt idx="20">
                  <c:v>157</c:v>
                </c:pt>
                <c:pt idx="21">
                  <c:v>139</c:v>
                </c:pt>
                <c:pt idx="22">
                  <c:v>159</c:v>
                </c:pt>
                <c:pt idx="23">
                  <c:v>170</c:v>
                </c:pt>
                <c:pt idx="24">
                  <c:v>198</c:v>
                </c:pt>
                <c:pt idx="25">
                  <c:v>192</c:v>
                </c:pt>
                <c:pt idx="26">
                  <c:v>154</c:v>
                </c:pt>
                <c:pt idx="27">
                  <c:v>170</c:v>
                </c:pt>
                <c:pt idx="28">
                  <c:v>184</c:v>
                </c:pt>
                <c:pt idx="29">
                  <c:v>170</c:v>
                </c:pt>
              </c:numCache>
            </c:numRef>
          </c:xVal>
          <c:yVal>
            <c:numRef>
              <c:f>Data!$E$2:$E$31</c:f>
              <c:numCache>
                <c:formatCode>General</c:formatCode>
                <c:ptCount val="30"/>
                <c:pt idx="0">
                  <c:v>59</c:v>
                </c:pt>
                <c:pt idx="1">
                  <c:v>49</c:v>
                </c:pt>
                <c:pt idx="2">
                  <c:v>32</c:v>
                </c:pt>
                <c:pt idx="3">
                  <c:v>59</c:v>
                </c:pt>
                <c:pt idx="4">
                  <c:v>39</c:v>
                </c:pt>
                <c:pt idx="5">
                  <c:v>41</c:v>
                </c:pt>
                <c:pt idx="6">
                  <c:v>49</c:v>
                </c:pt>
                <c:pt idx="7">
                  <c:v>81</c:v>
                </c:pt>
                <c:pt idx="8">
                  <c:v>49</c:v>
                </c:pt>
                <c:pt idx="9">
                  <c:v>33</c:v>
                </c:pt>
                <c:pt idx="10">
                  <c:v>45</c:v>
                </c:pt>
                <c:pt idx="11">
                  <c:v>49</c:v>
                </c:pt>
                <c:pt idx="12">
                  <c:v>42</c:v>
                </c:pt>
                <c:pt idx="13">
                  <c:v>66</c:v>
                </c:pt>
                <c:pt idx="14">
                  <c:v>36</c:v>
                </c:pt>
                <c:pt idx="15">
                  <c:v>58</c:v>
                </c:pt>
                <c:pt idx="16">
                  <c:v>52</c:v>
                </c:pt>
                <c:pt idx="17">
                  <c:v>47</c:v>
                </c:pt>
                <c:pt idx="18">
                  <c:v>45</c:v>
                </c:pt>
                <c:pt idx="19">
                  <c:v>51</c:v>
                </c:pt>
                <c:pt idx="20">
                  <c:v>49</c:v>
                </c:pt>
                <c:pt idx="21">
                  <c:v>41</c:v>
                </c:pt>
                <c:pt idx="22">
                  <c:v>52</c:v>
                </c:pt>
                <c:pt idx="23">
                  <c:v>49</c:v>
                </c:pt>
                <c:pt idx="24">
                  <c:v>77</c:v>
                </c:pt>
                <c:pt idx="25">
                  <c:v>73</c:v>
                </c:pt>
                <c:pt idx="26">
                  <c:v>52</c:v>
                </c:pt>
                <c:pt idx="27">
                  <c:v>64</c:v>
                </c:pt>
                <c:pt idx="28">
                  <c:v>73</c:v>
                </c:pt>
                <c:pt idx="29">
                  <c:v>83</c:v>
                </c:pt>
              </c:numCache>
            </c:numRef>
          </c:yVal>
        </c:ser>
        <c:axId val="128837504"/>
        <c:axId val="128844160"/>
      </c:scatterChart>
      <c:valAx>
        <c:axId val="128837504"/>
        <c:scaling>
          <c:orientation val="minMax"/>
          <c:max val="200"/>
          <c:min val="100"/>
        </c:scaling>
        <c:axPos val="b"/>
        <c:title>
          <c:tx>
            <c:rich>
              <a:bodyPr/>
              <a:lstStyle/>
              <a:p>
                <a:pPr>
                  <a:defRPr sz="8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Højde</a:t>
                </a:r>
              </a:p>
            </c:rich>
          </c:tx>
          <c:layout>
            <c:manualLayout>
              <c:xMode val="edge"/>
              <c:yMode val="edge"/>
              <c:x val="0.50185282395256148"/>
              <c:y val="0.91232227488151663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128844160"/>
        <c:crosses val="autoZero"/>
        <c:crossBetween val="midCat"/>
        <c:majorUnit val="10"/>
        <c:minorUnit val="1"/>
      </c:valAx>
      <c:valAx>
        <c:axId val="128844160"/>
        <c:scaling>
          <c:orientation val="minMax"/>
          <c:min val="30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Vægt</a:t>
                </a:r>
              </a:p>
            </c:rich>
          </c:tx>
          <c:layout>
            <c:manualLayout>
              <c:xMode val="edge"/>
              <c:yMode val="edge"/>
              <c:x val="2.9629629629629631E-2"/>
              <c:y val="0.45971563981042651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128837504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a-DK"/>
    </a:p>
  </c:txPr>
  <c:printSettings>
    <c:headerFooter alignWithMargins="0"/>
    <c:pageMargins b="1" l="0.75" r="0.75" t="1" header="0" footer="0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a-DK"/>
  <c:chart>
    <c:autoTitleDeleted val="1"/>
    <c:plotArea>
      <c:layout>
        <c:manualLayout>
          <c:layoutTarget val="inner"/>
          <c:xMode val="edge"/>
          <c:yMode val="edge"/>
          <c:x val="0.10500816037724686"/>
          <c:y val="8.8435667901214057E-2"/>
          <c:w val="0.85298936429517458"/>
          <c:h val="0.67687299662852307"/>
        </c:manualLayout>
      </c:layout>
      <c:bubbleChart>
        <c:ser>
          <c:idx val="0"/>
          <c:order val="0"/>
          <c:tx>
            <c:strRef>
              <c:f>Data!$E$1</c:f>
              <c:strCache>
                <c:ptCount val="1"/>
                <c:pt idx="0">
                  <c:v>Vægt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xVal>
            <c:numRef>
              <c:f>Data!$D$2:$D$31</c:f>
              <c:numCache>
                <c:formatCode>General</c:formatCode>
                <c:ptCount val="30"/>
                <c:pt idx="0">
                  <c:v>145</c:v>
                </c:pt>
                <c:pt idx="1">
                  <c:v>151</c:v>
                </c:pt>
                <c:pt idx="2">
                  <c:v>118</c:v>
                </c:pt>
                <c:pt idx="3">
                  <c:v>166</c:v>
                </c:pt>
                <c:pt idx="4">
                  <c:v>160</c:v>
                </c:pt>
                <c:pt idx="5">
                  <c:v>151</c:v>
                </c:pt>
                <c:pt idx="6">
                  <c:v>166</c:v>
                </c:pt>
                <c:pt idx="7">
                  <c:v>185</c:v>
                </c:pt>
                <c:pt idx="8">
                  <c:v>176</c:v>
                </c:pt>
                <c:pt idx="9">
                  <c:v>125</c:v>
                </c:pt>
                <c:pt idx="10">
                  <c:v>152</c:v>
                </c:pt>
                <c:pt idx="11">
                  <c:v>127</c:v>
                </c:pt>
                <c:pt idx="12">
                  <c:v>112</c:v>
                </c:pt>
                <c:pt idx="13">
                  <c:v>157</c:v>
                </c:pt>
                <c:pt idx="14">
                  <c:v>115</c:v>
                </c:pt>
                <c:pt idx="15">
                  <c:v>174</c:v>
                </c:pt>
                <c:pt idx="16">
                  <c:v>171</c:v>
                </c:pt>
                <c:pt idx="17">
                  <c:v>141</c:v>
                </c:pt>
                <c:pt idx="18">
                  <c:v>166</c:v>
                </c:pt>
                <c:pt idx="19">
                  <c:v>162</c:v>
                </c:pt>
                <c:pt idx="20">
                  <c:v>157</c:v>
                </c:pt>
                <c:pt idx="21">
                  <c:v>139</c:v>
                </c:pt>
                <c:pt idx="22">
                  <c:v>159</c:v>
                </c:pt>
                <c:pt idx="23">
                  <c:v>170</c:v>
                </c:pt>
                <c:pt idx="24">
                  <c:v>198</c:v>
                </c:pt>
                <c:pt idx="25">
                  <c:v>192</c:v>
                </c:pt>
                <c:pt idx="26">
                  <c:v>154</c:v>
                </c:pt>
                <c:pt idx="27">
                  <c:v>170</c:v>
                </c:pt>
                <c:pt idx="28">
                  <c:v>184</c:v>
                </c:pt>
                <c:pt idx="29">
                  <c:v>170</c:v>
                </c:pt>
              </c:numCache>
            </c:numRef>
          </c:xVal>
          <c:yVal>
            <c:numRef>
              <c:f>Data!$E$2:$E$31</c:f>
              <c:numCache>
                <c:formatCode>General</c:formatCode>
                <c:ptCount val="30"/>
                <c:pt idx="0">
                  <c:v>59</c:v>
                </c:pt>
                <c:pt idx="1">
                  <c:v>49</c:v>
                </c:pt>
                <c:pt idx="2">
                  <c:v>32</c:v>
                </c:pt>
                <c:pt idx="3">
                  <c:v>59</c:v>
                </c:pt>
                <c:pt idx="4">
                  <c:v>39</c:v>
                </c:pt>
                <c:pt idx="5">
                  <c:v>41</c:v>
                </c:pt>
                <c:pt idx="6">
                  <c:v>49</c:v>
                </c:pt>
                <c:pt idx="7">
                  <c:v>81</c:v>
                </c:pt>
                <c:pt idx="8">
                  <c:v>49</c:v>
                </c:pt>
                <c:pt idx="9">
                  <c:v>33</c:v>
                </c:pt>
                <c:pt idx="10">
                  <c:v>45</c:v>
                </c:pt>
                <c:pt idx="11">
                  <c:v>49</c:v>
                </c:pt>
                <c:pt idx="12">
                  <c:v>42</c:v>
                </c:pt>
                <c:pt idx="13">
                  <c:v>66</c:v>
                </c:pt>
                <c:pt idx="14">
                  <c:v>36</c:v>
                </c:pt>
                <c:pt idx="15">
                  <c:v>58</c:v>
                </c:pt>
                <c:pt idx="16">
                  <c:v>52</c:v>
                </c:pt>
                <c:pt idx="17">
                  <c:v>47</c:v>
                </c:pt>
                <c:pt idx="18">
                  <c:v>45</c:v>
                </c:pt>
                <c:pt idx="19">
                  <c:v>51</c:v>
                </c:pt>
                <c:pt idx="20">
                  <c:v>49</c:v>
                </c:pt>
                <c:pt idx="21">
                  <c:v>41</c:v>
                </c:pt>
                <c:pt idx="22">
                  <c:v>52</c:v>
                </c:pt>
                <c:pt idx="23">
                  <c:v>49</c:v>
                </c:pt>
                <c:pt idx="24">
                  <c:v>77</c:v>
                </c:pt>
                <c:pt idx="25">
                  <c:v>73</c:v>
                </c:pt>
                <c:pt idx="26">
                  <c:v>52</c:v>
                </c:pt>
                <c:pt idx="27">
                  <c:v>64</c:v>
                </c:pt>
                <c:pt idx="28">
                  <c:v>73</c:v>
                </c:pt>
                <c:pt idx="29">
                  <c:v>83</c:v>
                </c:pt>
              </c:numCache>
            </c:numRef>
          </c:yVal>
          <c:bubbleSize>
            <c:numRef>
              <c:f>Data!$C$2:$C$31</c:f>
              <c:numCache>
                <c:formatCode>General</c:formatCode>
                <c:ptCount val="30"/>
                <c:pt idx="0">
                  <c:v>12</c:v>
                </c:pt>
                <c:pt idx="1">
                  <c:v>12</c:v>
                </c:pt>
                <c:pt idx="2">
                  <c:v>12</c:v>
                </c:pt>
                <c:pt idx="3">
                  <c:v>13</c:v>
                </c:pt>
                <c:pt idx="4">
                  <c:v>13</c:v>
                </c:pt>
                <c:pt idx="5">
                  <c:v>14</c:v>
                </c:pt>
                <c:pt idx="6">
                  <c:v>14</c:v>
                </c:pt>
                <c:pt idx="7">
                  <c:v>14</c:v>
                </c:pt>
                <c:pt idx="8">
                  <c:v>14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12</c:v>
                </c:pt>
                <c:pt idx="14">
                  <c:v>12</c:v>
                </c:pt>
                <c:pt idx="15">
                  <c:v>13</c:v>
                </c:pt>
                <c:pt idx="16">
                  <c:v>13</c:v>
                </c:pt>
                <c:pt idx="17">
                  <c:v>13</c:v>
                </c:pt>
                <c:pt idx="18">
                  <c:v>13</c:v>
                </c:pt>
                <c:pt idx="19">
                  <c:v>14</c:v>
                </c:pt>
                <c:pt idx="20">
                  <c:v>14</c:v>
                </c:pt>
                <c:pt idx="21">
                  <c:v>14</c:v>
                </c:pt>
                <c:pt idx="22">
                  <c:v>14</c:v>
                </c:pt>
                <c:pt idx="23">
                  <c:v>14</c:v>
                </c:pt>
                <c:pt idx="24">
                  <c:v>15</c:v>
                </c:pt>
                <c:pt idx="25">
                  <c:v>15</c:v>
                </c:pt>
                <c:pt idx="26">
                  <c:v>15</c:v>
                </c:pt>
                <c:pt idx="27">
                  <c:v>16</c:v>
                </c:pt>
                <c:pt idx="28">
                  <c:v>17</c:v>
                </c:pt>
                <c:pt idx="29">
                  <c:v>17</c:v>
                </c:pt>
              </c:numCache>
            </c:numRef>
          </c:bubbleSize>
        </c:ser>
        <c:bubbleScale val="20"/>
        <c:sizeRepresents val="w"/>
        <c:axId val="128889216"/>
        <c:axId val="128891136"/>
      </c:bubbleChart>
      <c:valAx>
        <c:axId val="128889216"/>
        <c:scaling>
          <c:orientation val="minMax"/>
          <c:min val="100"/>
        </c:scaling>
        <c:axPos val="b"/>
        <c:title>
          <c:tx>
            <c:rich>
              <a:bodyPr/>
              <a:lstStyle/>
              <a:p>
                <a:pPr>
                  <a:defRPr sz="9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Højde</a:t>
                </a:r>
              </a:p>
            </c:rich>
          </c:tx>
          <c:layout>
            <c:manualLayout>
              <c:xMode val="edge"/>
              <c:yMode val="edge"/>
              <c:x val="0.49919258477181466"/>
              <c:y val="0.87075115610548681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128891136"/>
        <c:crosses val="autoZero"/>
        <c:crossBetween val="midCat"/>
      </c:valAx>
      <c:valAx>
        <c:axId val="128891136"/>
        <c:scaling>
          <c:orientation val="minMax"/>
          <c:min val="0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Vægt</a:t>
                </a:r>
              </a:p>
            </c:rich>
          </c:tx>
          <c:layout>
            <c:manualLayout>
              <c:xMode val="edge"/>
              <c:yMode val="edge"/>
              <c:x val="2.5848142164781908E-2"/>
              <c:y val="0.36394664952595213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128889216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a-DK"/>
    </a:p>
  </c:txPr>
  <c:printSettings>
    <c:headerFooter alignWithMargins="0"/>
    <c:pageMargins b="1" l="0.75" r="0.75" t="1" header="0" footer="0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a-DK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a-DK"/>
              <a:t>Histogram over højde</a:t>
            </a:r>
          </a:p>
        </c:rich>
      </c:tx>
      <c:layout>
        <c:manualLayout>
          <c:xMode val="edge"/>
          <c:yMode val="edge"/>
          <c:x val="0.27864665354330709"/>
          <c:y val="4.3956255468066488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6927126381241814"/>
          <c:y val="0.34065934065934067"/>
          <c:w val="0.79427285327365438"/>
          <c:h val="0.28021978021978022"/>
        </c:manualLayout>
      </c:layout>
      <c:barChart>
        <c:barDir val="col"/>
        <c:grouping val="clustered"/>
        <c:ser>
          <c:idx val="0"/>
          <c:order val="0"/>
          <c:tx>
            <c:v>Hyppighed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Histogram!$C$2:$C$6</c:f>
              <c:numCache>
                <c:formatCode>General</c:formatCode>
                <c:ptCount val="5"/>
                <c:pt idx="0">
                  <c:v>120</c:v>
                </c:pt>
                <c:pt idx="1">
                  <c:v>140</c:v>
                </c:pt>
                <c:pt idx="2">
                  <c:v>160</c:v>
                </c:pt>
                <c:pt idx="3">
                  <c:v>180</c:v>
                </c:pt>
                <c:pt idx="4">
                  <c:v>200</c:v>
                </c:pt>
              </c:numCache>
            </c:numRef>
          </c:cat>
          <c:val>
            <c:numRef>
              <c:f>Histogram!$D$2:$D$6</c:f>
              <c:numCache>
                <c:formatCode>General</c:formatCode>
                <c:ptCount val="5"/>
                <c:pt idx="0">
                  <c:v>3</c:v>
                </c:pt>
                <c:pt idx="1">
                  <c:v>3</c:v>
                </c:pt>
                <c:pt idx="2">
                  <c:v>10</c:v>
                </c:pt>
                <c:pt idx="3">
                  <c:v>10</c:v>
                </c:pt>
                <c:pt idx="4">
                  <c:v>4</c:v>
                </c:pt>
              </c:numCache>
            </c:numRef>
          </c:val>
        </c:ser>
        <c:axId val="129212800"/>
        <c:axId val="129214720"/>
      </c:barChart>
      <c:catAx>
        <c:axId val="129212800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a-DK"/>
                  <a:t>Højde i  cm</a:t>
                </a:r>
              </a:p>
            </c:rich>
          </c:tx>
          <c:layout>
            <c:manualLayout>
              <c:xMode val="edge"/>
              <c:yMode val="edge"/>
              <c:x val="0.42448026027996499"/>
              <c:y val="0.7857142023913678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129214720"/>
        <c:crosses val="autoZero"/>
        <c:auto val="1"/>
        <c:lblAlgn val="ctr"/>
        <c:lblOffset val="100"/>
        <c:tickLblSkip val="1"/>
        <c:tickMarkSkip val="1"/>
      </c:catAx>
      <c:valAx>
        <c:axId val="129214720"/>
        <c:scaling>
          <c:orientation val="minMax"/>
        </c:scaling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a-DK"/>
                  <a:t>Antal</a:t>
                </a:r>
              </a:p>
            </c:rich>
          </c:tx>
          <c:layout>
            <c:manualLayout>
              <c:xMode val="edge"/>
              <c:yMode val="edge"/>
              <c:x val="4.1666666666666664E-2"/>
              <c:y val="0.37912102653834934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12921280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a-DK"/>
    </a:p>
  </c:txPr>
  <c:printSettings>
    <c:headerFooter alignWithMargins="0"/>
    <c:pageMargins b="1" l="0.75" r="0.75" t="1" header="0" footer="0"/>
    <c:pageSetup paperSize="9" orientation="landscape" horizontalDpi="200" verticalDpi="200" copies="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a-DK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a-DK"/>
              <a:t>Histogram over vægt</a:t>
            </a:r>
          </a:p>
        </c:rich>
      </c:tx>
      <c:layout>
        <c:manualLayout>
          <c:xMode val="edge"/>
          <c:yMode val="edge"/>
          <c:x val="0.28645915354330709"/>
          <c:y val="4.2654028436018961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6927126381241814"/>
          <c:y val="0.29857889000224469"/>
          <c:w val="0.79427285327365438"/>
          <c:h val="0.37440844936789414"/>
        </c:manualLayout>
      </c:layout>
      <c:barChart>
        <c:barDir val="col"/>
        <c:grouping val="clustered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Histogram!$B$12:$B$17</c:f>
              <c:numCache>
                <c:formatCode>General</c:formatCode>
                <c:ptCount val="6"/>
                <c:pt idx="0">
                  <c:v>40</c:v>
                </c:pt>
                <c:pt idx="1">
                  <c:v>50</c:v>
                </c:pt>
                <c:pt idx="2">
                  <c:v>60</c:v>
                </c:pt>
                <c:pt idx="3">
                  <c:v>70</c:v>
                </c:pt>
                <c:pt idx="4">
                  <c:v>80</c:v>
                </c:pt>
                <c:pt idx="5">
                  <c:v>90</c:v>
                </c:pt>
              </c:numCache>
            </c:numRef>
          </c:cat>
          <c:val>
            <c:numRef>
              <c:f>Histogram!$D$12:$D$17</c:f>
              <c:numCache>
                <c:formatCode>General</c:formatCode>
                <c:ptCount val="6"/>
                <c:pt idx="0">
                  <c:v>4</c:v>
                </c:pt>
                <c:pt idx="1">
                  <c:v>12</c:v>
                </c:pt>
                <c:pt idx="2">
                  <c:v>7</c:v>
                </c:pt>
                <c:pt idx="3">
                  <c:v>2</c:v>
                </c:pt>
                <c:pt idx="4">
                  <c:v>3</c:v>
                </c:pt>
                <c:pt idx="5">
                  <c:v>2</c:v>
                </c:pt>
              </c:numCache>
            </c:numRef>
          </c:val>
        </c:ser>
        <c:axId val="129533824"/>
        <c:axId val="129540096"/>
      </c:barChart>
      <c:catAx>
        <c:axId val="129533824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a-DK"/>
                  <a:t>Vægt</a:t>
                </a:r>
              </a:p>
            </c:rich>
          </c:tx>
          <c:layout>
            <c:manualLayout>
              <c:xMode val="edge"/>
              <c:yMode val="edge"/>
              <c:x val="0.47135526027996494"/>
              <c:y val="0.80568919406401218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129540096"/>
        <c:crosses val="autoZero"/>
        <c:auto val="1"/>
        <c:lblAlgn val="ctr"/>
        <c:lblOffset val="100"/>
        <c:tickLblSkip val="1"/>
        <c:tickMarkSkip val="1"/>
      </c:catAx>
      <c:valAx>
        <c:axId val="129540096"/>
        <c:scaling>
          <c:orientation val="minMax"/>
          <c:max val="15"/>
          <c:min val="0"/>
        </c:scaling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a-DK"/>
                  <a:t>Hyppighed</a:t>
                </a:r>
              </a:p>
            </c:rich>
          </c:tx>
          <c:layout>
            <c:manualLayout>
              <c:xMode val="edge"/>
              <c:yMode val="edge"/>
              <c:x val="4.1666666666666664E-2"/>
              <c:y val="0.31279670609894139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129533824"/>
        <c:crosses val="autoZero"/>
        <c:crossBetween val="between"/>
        <c:majorUnit val="5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a-DK"/>
    </a:p>
  </c:txPr>
  <c:printSettings>
    <c:headerFooter alignWithMargins="0"/>
    <c:pageMargins b="1" l="0.75" r="0.75" t="1" header="0" footer="0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a-DK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a-DK"/>
              <a:t>Histogram</a:t>
            </a:r>
          </a:p>
        </c:rich>
      </c:tx>
      <c:layout>
        <c:manualLayout>
          <c:xMode val="edge"/>
          <c:yMode val="edge"/>
          <c:x val="0.39062609361329836"/>
          <c:y val="4.2253521126760563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6927126381241814"/>
          <c:y val="0.29577600396128578"/>
          <c:w val="0.79427285327365438"/>
          <c:h val="0.38028343366451028"/>
        </c:manualLayout>
      </c:layout>
      <c:barChart>
        <c:barDir val="col"/>
        <c:grouping val="clustered"/>
        <c:ser>
          <c:idx val="0"/>
          <c:order val="0"/>
          <c:tx>
            <c:v>Hyppighed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Histogram!$A$23:$A$29</c:f>
              <c:strCache>
                <c:ptCount val="7"/>
                <c:pt idx="0">
                  <c:v>12</c:v>
                </c:pt>
                <c:pt idx="1">
                  <c:v>13</c:v>
                </c:pt>
                <c:pt idx="2">
                  <c:v>14</c:v>
                </c:pt>
                <c:pt idx="3">
                  <c:v>15</c:v>
                </c:pt>
                <c:pt idx="4">
                  <c:v>16</c:v>
                </c:pt>
                <c:pt idx="5">
                  <c:v>17</c:v>
                </c:pt>
                <c:pt idx="6">
                  <c:v>Mere</c:v>
                </c:pt>
              </c:strCache>
            </c:strRef>
          </c:cat>
          <c:val>
            <c:numRef>
              <c:f>Histogram!$B$23:$B$29</c:f>
              <c:numCache>
                <c:formatCode>General</c:formatCode>
                <c:ptCount val="7"/>
                <c:pt idx="0">
                  <c:v>5</c:v>
                </c:pt>
                <c:pt idx="1">
                  <c:v>6</c:v>
                </c:pt>
                <c:pt idx="2">
                  <c:v>10</c:v>
                </c:pt>
                <c:pt idx="3">
                  <c:v>4</c:v>
                </c:pt>
                <c:pt idx="4">
                  <c:v>2</c:v>
                </c:pt>
                <c:pt idx="5">
                  <c:v>3</c:v>
                </c:pt>
                <c:pt idx="6">
                  <c:v>0</c:v>
                </c:pt>
              </c:numCache>
            </c:numRef>
          </c:val>
        </c:ser>
        <c:axId val="129547648"/>
        <c:axId val="129656320"/>
      </c:barChart>
      <c:catAx>
        <c:axId val="129547648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a-DK"/>
                  <a:t>Søjler Alder</a:t>
                </a:r>
              </a:p>
            </c:rich>
          </c:tx>
          <c:layout>
            <c:manualLayout>
              <c:xMode val="edge"/>
              <c:yMode val="edge"/>
              <c:x val="0.46093859361329831"/>
              <c:y val="0.82160018730053108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129656320"/>
        <c:crosses val="autoZero"/>
        <c:auto val="1"/>
        <c:lblAlgn val="ctr"/>
        <c:lblOffset val="100"/>
        <c:tickLblSkip val="1"/>
        <c:tickMarkSkip val="1"/>
      </c:catAx>
      <c:valAx>
        <c:axId val="129656320"/>
        <c:scaling>
          <c:orientation val="minMax"/>
        </c:scaling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a-DK"/>
                  <a:t>Hyppighed</a:t>
                </a:r>
              </a:p>
            </c:rich>
          </c:tx>
          <c:layout>
            <c:manualLayout>
              <c:xMode val="edge"/>
              <c:yMode val="edge"/>
              <c:x val="4.1666666666666664E-2"/>
              <c:y val="0.31455546929873202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12954764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a-DK"/>
    </a:p>
  </c:txPr>
  <c:printSettings>
    <c:headerFooter alignWithMargins="0"/>
    <c:pageMargins b="1" l="0.75" r="0.75" t="1" header="0" footer="0"/>
    <c:pageSetup paperSize="9" orientation="landscape" horizontalDpi="200" verticalDpi="200" copies="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a-DK"/>
  <c:chart>
    <c:plotArea>
      <c:layout>
        <c:manualLayout>
          <c:layoutTarget val="inner"/>
          <c:xMode val="edge"/>
          <c:yMode val="edge"/>
          <c:x val="9.5315099419347155E-2"/>
          <c:y val="8.6092715231788075E-2"/>
          <c:w val="0.77544487663197681"/>
          <c:h val="0.76490066225165565"/>
        </c:manualLayout>
      </c:layout>
      <c:barChart>
        <c:barDir val="col"/>
        <c:grouping val="clustered"/>
        <c:ser>
          <c:idx val="0"/>
          <c:order val="0"/>
          <c:tx>
            <c:strRef>
              <c:f>Grafer!$H$4</c:f>
              <c:strCache>
                <c:ptCount val="1"/>
                <c:pt idx="0">
                  <c:v>Piger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Grafer!$I$3:$J$3</c:f>
              <c:strCache>
                <c:ptCount val="2"/>
                <c:pt idx="0">
                  <c:v>Højde i cm</c:v>
                </c:pt>
                <c:pt idx="1">
                  <c:v>Vægt i kg</c:v>
                </c:pt>
              </c:strCache>
            </c:strRef>
          </c:cat>
          <c:val>
            <c:numRef>
              <c:f>Grafer!$I$4:$J$4</c:f>
              <c:numCache>
                <c:formatCode>0.0</c:formatCode>
                <c:ptCount val="2"/>
                <c:pt idx="0">
                  <c:v>148.76923076923077</c:v>
                </c:pt>
                <c:pt idx="1">
                  <c:v>48.230769230769234</c:v>
                </c:pt>
              </c:numCache>
            </c:numRef>
          </c:val>
        </c:ser>
        <c:ser>
          <c:idx val="1"/>
          <c:order val="1"/>
          <c:tx>
            <c:strRef>
              <c:f>Grafer!$H$5</c:f>
              <c:strCache>
                <c:ptCount val="1"/>
                <c:pt idx="0">
                  <c:v>Drenge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Grafer!$I$3:$J$3</c:f>
              <c:strCache>
                <c:ptCount val="2"/>
                <c:pt idx="0">
                  <c:v>Højde i cm</c:v>
                </c:pt>
                <c:pt idx="1">
                  <c:v>Vægt i kg</c:v>
                </c:pt>
              </c:strCache>
            </c:strRef>
          </c:cat>
          <c:val>
            <c:numRef>
              <c:f>Grafer!$I$5:$J$5</c:f>
              <c:numCache>
                <c:formatCode>0.0</c:formatCode>
                <c:ptCount val="2"/>
                <c:pt idx="0">
                  <c:v>163.875</c:v>
                </c:pt>
                <c:pt idx="1">
                  <c:v>56.375</c:v>
                </c:pt>
              </c:numCache>
            </c:numRef>
          </c:val>
        </c:ser>
        <c:axId val="128940672"/>
        <c:axId val="128954752"/>
      </c:barChart>
      <c:catAx>
        <c:axId val="128940672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128954752"/>
        <c:crosses val="autoZero"/>
        <c:auto val="1"/>
        <c:lblAlgn val="ctr"/>
        <c:lblOffset val="100"/>
        <c:tickLblSkip val="1"/>
        <c:tickMarkSkip val="1"/>
      </c:catAx>
      <c:valAx>
        <c:axId val="128954752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12894067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88853056534330621"/>
          <c:y val="0.39735099337748342"/>
          <c:w val="0.98707660734653724"/>
          <c:h val="0.53973509933774833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a-DK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a-DK"/>
    </a:p>
  </c:txPr>
  <c:printSettings>
    <c:headerFooter alignWithMargins="0"/>
    <c:pageMargins b="1" l="0.75" r="0.75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4" Type="http://schemas.openxmlformats.org/officeDocument/2006/relationships/chart" Target="../charts/chart12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8.xml"/><Relationship Id="rId2" Type="http://schemas.openxmlformats.org/officeDocument/2006/relationships/chart" Target="../charts/chart17.xml"/><Relationship Id="rId1" Type="http://schemas.openxmlformats.org/officeDocument/2006/relationships/chart" Target="../charts/chart16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0.xml"/><Relationship Id="rId1" Type="http://schemas.openxmlformats.org/officeDocument/2006/relationships/chart" Target="../charts/chart19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0</xdr:row>
      <xdr:rowOff>0</xdr:rowOff>
    </xdr:from>
    <xdr:to>
      <xdr:col>12</xdr:col>
      <xdr:colOff>561975</xdr:colOff>
      <xdr:row>17</xdr:row>
      <xdr:rowOff>76200</xdr:rowOff>
    </xdr:to>
    <xdr:graphicFrame macro="">
      <xdr:nvGraphicFramePr>
        <xdr:cNvPr id="1117" name="Diagram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0</xdr:colOff>
      <xdr:row>57</xdr:row>
      <xdr:rowOff>114300</xdr:rowOff>
    </xdr:from>
    <xdr:to>
      <xdr:col>12</xdr:col>
      <xdr:colOff>533400</xdr:colOff>
      <xdr:row>75</xdr:row>
      <xdr:rowOff>76200</xdr:rowOff>
    </xdr:to>
    <xdr:graphicFrame macro="">
      <xdr:nvGraphicFramePr>
        <xdr:cNvPr id="1118" name="Diagram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0</xdr:colOff>
      <xdr:row>78</xdr:row>
      <xdr:rowOff>0</xdr:rowOff>
    </xdr:from>
    <xdr:to>
      <xdr:col>12</xdr:col>
      <xdr:colOff>571500</xdr:colOff>
      <xdr:row>95</xdr:row>
      <xdr:rowOff>133350</xdr:rowOff>
    </xdr:to>
    <xdr:graphicFrame macro="">
      <xdr:nvGraphicFramePr>
        <xdr:cNvPr id="1119" name="Diagram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0</xdr:colOff>
      <xdr:row>19</xdr:row>
      <xdr:rowOff>0</xdr:rowOff>
    </xdr:from>
    <xdr:to>
      <xdr:col>12</xdr:col>
      <xdr:colOff>571500</xdr:colOff>
      <xdr:row>43</xdr:row>
      <xdr:rowOff>133350</xdr:rowOff>
    </xdr:to>
    <xdr:graphicFrame macro="">
      <xdr:nvGraphicFramePr>
        <xdr:cNvPr id="1120" name="Diagram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</xdr:col>
      <xdr:colOff>733425</xdr:colOff>
      <xdr:row>0</xdr:row>
      <xdr:rowOff>0</xdr:rowOff>
    </xdr:from>
    <xdr:to>
      <xdr:col>20</xdr:col>
      <xdr:colOff>533400</xdr:colOff>
      <xdr:row>17</xdr:row>
      <xdr:rowOff>47625</xdr:rowOff>
    </xdr:to>
    <xdr:graphicFrame macro="">
      <xdr:nvGraphicFramePr>
        <xdr:cNvPr id="1121" name="Diagram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0</xdr:row>
      <xdr:rowOff>0</xdr:rowOff>
    </xdr:from>
    <xdr:to>
      <xdr:col>12</xdr:col>
      <xdr:colOff>0</xdr:colOff>
      <xdr:row>10</xdr:row>
      <xdr:rowOff>85725</xdr:rowOff>
    </xdr:to>
    <xdr:graphicFrame macro="">
      <xdr:nvGraphicFramePr>
        <xdr:cNvPr id="5167" name="Diagra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600075</xdr:colOff>
      <xdr:row>10</xdr:row>
      <xdr:rowOff>95250</xdr:rowOff>
    </xdr:from>
    <xdr:to>
      <xdr:col>11</xdr:col>
      <xdr:colOff>600075</xdr:colOff>
      <xdr:row>22</xdr:row>
      <xdr:rowOff>133350</xdr:rowOff>
    </xdr:to>
    <xdr:graphicFrame macro="">
      <xdr:nvGraphicFramePr>
        <xdr:cNvPr id="5168" name="Diagra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19050</xdr:colOff>
      <xdr:row>22</xdr:row>
      <xdr:rowOff>142875</xdr:rowOff>
    </xdr:from>
    <xdr:to>
      <xdr:col>12</xdr:col>
      <xdr:colOff>19050</xdr:colOff>
      <xdr:row>35</xdr:row>
      <xdr:rowOff>57150</xdr:rowOff>
    </xdr:to>
    <xdr:graphicFrame macro="">
      <xdr:nvGraphicFramePr>
        <xdr:cNvPr id="5169" name="Diagram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581025</xdr:colOff>
      <xdr:row>6</xdr:row>
      <xdr:rowOff>142875</xdr:rowOff>
    </xdr:from>
    <xdr:to>
      <xdr:col>16</xdr:col>
      <xdr:colOff>257175</xdr:colOff>
      <xdr:row>24</xdr:row>
      <xdr:rowOff>104775</xdr:rowOff>
    </xdr:to>
    <xdr:graphicFrame macro="">
      <xdr:nvGraphicFramePr>
        <xdr:cNvPr id="7231" name="Diagram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0</xdr:colOff>
      <xdr:row>26</xdr:row>
      <xdr:rowOff>0</xdr:rowOff>
    </xdr:from>
    <xdr:to>
      <xdr:col>13</xdr:col>
      <xdr:colOff>66675</xdr:colOff>
      <xdr:row>43</xdr:row>
      <xdr:rowOff>123825</xdr:rowOff>
    </xdr:to>
    <xdr:graphicFrame macro="">
      <xdr:nvGraphicFramePr>
        <xdr:cNvPr id="7232" name="Diagram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47625</xdr:colOff>
      <xdr:row>1</xdr:row>
      <xdr:rowOff>66675</xdr:rowOff>
    </xdr:from>
    <xdr:to>
      <xdr:col>23</xdr:col>
      <xdr:colOff>533400</xdr:colOff>
      <xdr:row>21</xdr:row>
      <xdr:rowOff>133350</xdr:rowOff>
    </xdr:to>
    <xdr:graphicFrame macro="">
      <xdr:nvGraphicFramePr>
        <xdr:cNvPr id="7233" name="Diagram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17</xdr:col>
      <xdr:colOff>9525</xdr:colOff>
      <xdr:row>24</xdr:row>
      <xdr:rowOff>142875</xdr:rowOff>
    </xdr:from>
    <xdr:to>
      <xdr:col>23</xdr:col>
      <xdr:colOff>495300</xdr:colOff>
      <xdr:row>45</xdr:row>
      <xdr:rowOff>47625</xdr:rowOff>
    </xdr:to>
    <xdr:graphicFrame macro="">
      <xdr:nvGraphicFramePr>
        <xdr:cNvPr id="7234" name="Diagram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0</xdr:row>
      <xdr:rowOff>0</xdr:rowOff>
    </xdr:from>
    <xdr:to>
      <xdr:col>16</xdr:col>
      <xdr:colOff>352425</xdr:colOff>
      <xdr:row>17</xdr:row>
      <xdr:rowOff>123825</xdr:rowOff>
    </xdr:to>
    <xdr:graphicFrame macro="">
      <xdr:nvGraphicFramePr>
        <xdr:cNvPr id="13359" name="Diagram 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0</xdr:colOff>
      <xdr:row>17</xdr:row>
      <xdr:rowOff>133350</xdr:rowOff>
    </xdr:from>
    <xdr:to>
      <xdr:col>16</xdr:col>
      <xdr:colOff>371475</xdr:colOff>
      <xdr:row>36</xdr:row>
      <xdr:rowOff>95250</xdr:rowOff>
    </xdr:to>
    <xdr:graphicFrame macro="">
      <xdr:nvGraphicFramePr>
        <xdr:cNvPr id="13360" name="Diagram 102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19050</xdr:colOff>
      <xdr:row>36</xdr:row>
      <xdr:rowOff>104775</xdr:rowOff>
    </xdr:from>
    <xdr:to>
      <xdr:col>16</xdr:col>
      <xdr:colOff>381000</xdr:colOff>
      <xdr:row>55</xdr:row>
      <xdr:rowOff>9525</xdr:rowOff>
    </xdr:to>
    <xdr:graphicFrame macro="">
      <xdr:nvGraphicFramePr>
        <xdr:cNvPr id="13361" name="Diagram 102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0</xdr:row>
      <xdr:rowOff>0</xdr:rowOff>
    </xdr:from>
    <xdr:to>
      <xdr:col>15</xdr:col>
      <xdr:colOff>238125</xdr:colOff>
      <xdr:row>17</xdr:row>
      <xdr:rowOff>9525</xdr:rowOff>
    </xdr:to>
    <xdr:graphicFrame macro="">
      <xdr:nvGraphicFramePr>
        <xdr:cNvPr id="4143" name="Diagra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0</xdr:colOff>
      <xdr:row>17</xdr:row>
      <xdr:rowOff>57150</xdr:rowOff>
    </xdr:from>
    <xdr:to>
      <xdr:col>15</xdr:col>
      <xdr:colOff>247650</xdr:colOff>
      <xdr:row>34</xdr:row>
      <xdr:rowOff>95250</xdr:rowOff>
    </xdr:to>
    <xdr:graphicFrame macro="">
      <xdr:nvGraphicFramePr>
        <xdr:cNvPr id="4144" name="Diagram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35</xdr:row>
      <xdr:rowOff>0</xdr:rowOff>
    </xdr:from>
    <xdr:to>
      <xdr:col>15</xdr:col>
      <xdr:colOff>266700</xdr:colOff>
      <xdr:row>52</xdr:row>
      <xdr:rowOff>133350</xdr:rowOff>
    </xdr:to>
    <xdr:graphicFrame macro="">
      <xdr:nvGraphicFramePr>
        <xdr:cNvPr id="4145" name="Diagram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38100</xdr:colOff>
      <xdr:row>54</xdr:row>
      <xdr:rowOff>9525</xdr:rowOff>
    </xdr:from>
    <xdr:to>
      <xdr:col>12</xdr:col>
      <xdr:colOff>466725</xdr:colOff>
      <xdr:row>71</xdr:row>
      <xdr:rowOff>85725</xdr:rowOff>
    </xdr:to>
    <xdr:graphicFrame macro="">
      <xdr:nvGraphicFramePr>
        <xdr:cNvPr id="6180" name="Diagram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504825</xdr:colOff>
      <xdr:row>73</xdr:row>
      <xdr:rowOff>85725</xdr:rowOff>
    </xdr:from>
    <xdr:to>
      <xdr:col>8</xdr:col>
      <xdr:colOff>1057275</xdr:colOff>
      <xdr:row>93</xdr:row>
      <xdr:rowOff>19050</xdr:rowOff>
    </xdr:to>
    <xdr:graphicFrame macro="">
      <xdr:nvGraphicFramePr>
        <xdr:cNvPr id="6181" name="Diagram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Relationship Id="rId4" Type="http://schemas.openxmlformats.org/officeDocument/2006/relationships/oleObject" Target="../embeddings/oleObject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15"/>
  <sheetViews>
    <sheetView zoomScaleNormal="100" workbookViewId="0"/>
  </sheetViews>
  <sheetFormatPr defaultColWidth="11.42578125" defaultRowHeight="12.75"/>
  <cols>
    <col min="1" max="2" width="11.42578125" customWidth="1"/>
    <col min="3" max="3" width="11.42578125" style="2" customWidth="1"/>
    <col min="4" max="5" width="11.42578125" customWidth="1"/>
    <col min="6" max="6" width="14.28515625" bestFit="1" customWidth="1"/>
  </cols>
  <sheetData>
    <row r="1" spans="1:9">
      <c r="A1" s="43" t="s">
        <v>6</v>
      </c>
      <c r="B1" s="44" t="s">
        <v>2</v>
      </c>
      <c r="C1" s="44" t="s">
        <v>1</v>
      </c>
      <c r="D1" s="44" t="s">
        <v>4</v>
      </c>
      <c r="E1" s="44" t="s">
        <v>3</v>
      </c>
      <c r="G1" s="2"/>
      <c r="H1" s="2"/>
      <c r="I1" s="2"/>
    </row>
    <row r="2" spans="1:9">
      <c r="A2" s="45">
        <v>6</v>
      </c>
      <c r="B2" s="46" t="s">
        <v>5</v>
      </c>
      <c r="C2" s="46">
        <v>12</v>
      </c>
      <c r="D2" s="46">
        <v>145</v>
      </c>
      <c r="E2" s="46">
        <v>59</v>
      </c>
      <c r="F2" s="8"/>
      <c r="G2" s="6"/>
      <c r="H2" s="1"/>
      <c r="I2" s="1"/>
    </row>
    <row r="3" spans="1:9">
      <c r="A3" s="45">
        <v>20</v>
      </c>
      <c r="B3" s="46" t="s">
        <v>5</v>
      </c>
      <c r="C3" s="46">
        <v>12</v>
      </c>
      <c r="D3" s="46">
        <v>151</v>
      </c>
      <c r="E3" s="46">
        <v>49</v>
      </c>
      <c r="F3" s="8"/>
      <c r="G3" s="6"/>
      <c r="H3" s="1"/>
      <c r="I3" s="1"/>
    </row>
    <row r="4" spans="1:9">
      <c r="A4" s="45">
        <v>26</v>
      </c>
      <c r="B4" s="46" t="s">
        <v>5</v>
      </c>
      <c r="C4" s="46">
        <v>12</v>
      </c>
      <c r="D4" s="46">
        <v>118</v>
      </c>
      <c r="E4" s="46">
        <v>32</v>
      </c>
      <c r="F4" s="8"/>
      <c r="G4" s="6"/>
      <c r="H4" s="1"/>
      <c r="I4" s="1"/>
    </row>
    <row r="5" spans="1:9">
      <c r="A5" s="45">
        <v>7</v>
      </c>
      <c r="B5" s="46" t="s">
        <v>5</v>
      </c>
      <c r="C5" s="46">
        <v>13</v>
      </c>
      <c r="D5" s="46">
        <v>166</v>
      </c>
      <c r="E5" s="46">
        <v>59</v>
      </c>
      <c r="F5" s="8"/>
      <c r="G5" s="6"/>
      <c r="H5" s="1"/>
      <c r="I5" s="1"/>
    </row>
    <row r="6" spans="1:9">
      <c r="A6" s="45">
        <v>10</v>
      </c>
      <c r="B6" s="46" t="s">
        <v>5</v>
      </c>
      <c r="C6" s="46">
        <v>13</v>
      </c>
      <c r="D6" s="46">
        <v>160</v>
      </c>
      <c r="E6" s="46">
        <v>39</v>
      </c>
      <c r="F6" s="8"/>
      <c r="G6" s="6"/>
      <c r="H6" s="1"/>
      <c r="I6" s="1"/>
    </row>
    <row r="7" spans="1:9">
      <c r="A7" s="45">
        <v>2</v>
      </c>
      <c r="B7" s="46" t="s">
        <v>5</v>
      </c>
      <c r="C7" s="46">
        <v>14</v>
      </c>
      <c r="D7" s="46">
        <v>151</v>
      </c>
      <c r="E7" s="46">
        <v>41</v>
      </c>
      <c r="F7" s="8"/>
      <c r="G7" s="6"/>
      <c r="H7" s="1"/>
      <c r="I7" s="1"/>
    </row>
    <row r="8" spans="1:9">
      <c r="A8" s="45">
        <v>12</v>
      </c>
      <c r="B8" s="46" t="s">
        <v>5</v>
      </c>
      <c r="C8" s="46">
        <v>14</v>
      </c>
      <c r="D8" s="46">
        <v>166</v>
      </c>
      <c r="E8" s="46">
        <v>49</v>
      </c>
      <c r="F8" s="8"/>
      <c r="G8" s="6"/>
      <c r="H8" s="1"/>
      <c r="I8" s="1"/>
    </row>
    <row r="9" spans="1:9">
      <c r="A9" s="45">
        <v>15</v>
      </c>
      <c r="B9" s="46" t="s">
        <v>5</v>
      </c>
      <c r="C9" s="46">
        <v>14</v>
      </c>
      <c r="D9" s="46">
        <v>185</v>
      </c>
      <c r="E9" s="46">
        <v>81</v>
      </c>
      <c r="F9" s="8"/>
      <c r="G9" s="6"/>
      <c r="H9" s="1"/>
      <c r="I9" s="1"/>
    </row>
    <row r="10" spans="1:9">
      <c r="A10" s="45">
        <v>18</v>
      </c>
      <c r="B10" s="46" t="s">
        <v>5</v>
      </c>
      <c r="C10" s="46">
        <v>14</v>
      </c>
      <c r="D10" s="46">
        <v>176</v>
      </c>
      <c r="E10" s="46">
        <v>49</v>
      </c>
      <c r="F10" s="8"/>
      <c r="G10" s="6"/>
      <c r="H10" s="1"/>
      <c r="I10" s="1"/>
    </row>
    <row r="11" spans="1:9">
      <c r="A11" s="45">
        <v>25</v>
      </c>
      <c r="B11" s="46" t="s">
        <v>5</v>
      </c>
      <c r="C11" s="46">
        <v>14</v>
      </c>
      <c r="D11" s="46">
        <v>125</v>
      </c>
      <c r="E11" s="46">
        <v>33</v>
      </c>
      <c r="F11" s="8"/>
      <c r="G11" s="6"/>
      <c r="H11" s="1"/>
      <c r="I11" s="1"/>
    </row>
    <row r="12" spans="1:9">
      <c r="A12" s="45">
        <v>30</v>
      </c>
      <c r="B12" s="46" t="s">
        <v>5</v>
      </c>
      <c r="C12" s="46">
        <v>15</v>
      </c>
      <c r="D12" s="46">
        <v>152</v>
      </c>
      <c r="E12" s="46">
        <v>45</v>
      </c>
      <c r="F12" s="8"/>
      <c r="G12" s="6"/>
      <c r="H12" s="1"/>
      <c r="I12" s="1"/>
    </row>
    <row r="13" spans="1:9">
      <c r="A13" s="45">
        <v>24</v>
      </c>
      <c r="B13" s="46" t="s">
        <v>5</v>
      </c>
      <c r="C13" s="46">
        <v>16</v>
      </c>
      <c r="D13" s="46">
        <v>127</v>
      </c>
      <c r="E13" s="46">
        <v>49</v>
      </c>
      <c r="F13" s="8"/>
      <c r="G13" s="6"/>
      <c r="H13" s="1"/>
      <c r="I13" s="1"/>
    </row>
    <row r="14" spans="1:9">
      <c r="A14" s="45">
        <v>28</v>
      </c>
      <c r="B14" s="46" t="s">
        <v>5</v>
      </c>
      <c r="C14" s="46">
        <v>17</v>
      </c>
      <c r="D14" s="46">
        <v>112</v>
      </c>
      <c r="E14" s="46">
        <v>42</v>
      </c>
      <c r="F14" s="8"/>
      <c r="G14" s="6"/>
      <c r="H14" s="1"/>
      <c r="I14" s="1"/>
    </row>
    <row r="15" spans="1:9">
      <c r="A15" s="45">
        <v>1</v>
      </c>
      <c r="B15" s="46" t="s">
        <v>0</v>
      </c>
      <c r="C15" s="46">
        <v>12</v>
      </c>
      <c r="D15" s="46">
        <v>157</v>
      </c>
      <c r="E15" s="46">
        <v>66</v>
      </c>
      <c r="F15" s="8"/>
      <c r="G15" s="6"/>
      <c r="H15" s="1"/>
      <c r="I15" s="1"/>
    </row>
    <row r="16" spans="1:9">
      <c r="A16" s="45">
        <v>21</v>
      </c>
      <c r="B16" s="46" t="s">
        <v>0</v>
      </c>
      <c r="C16" s="46">
        <v>12</v>
      </c>
      <c r="D16" s="46">
        <v>115</v>
      </c>
      <c r="E16" s="46">
        <v>36</v>
      </c>
      <c r="F16" s="8"/>
      <c r="G16" s="6"/>
      <c r="H16" s="1"/>
      <c r="I16" s="1"/>
    </row>
    <row r="17" spans="1:9">
      <c r="A17" s="45">
        <v>3</v>
      </c>
      <c r="B17" s="46" t="s">
        <v>0</v>
      </c>
      <c r="C17" s="46">
        <v>13</v>
      </c>
      <c r="D17" s="46">
        <v>174</v>
      </c>
      <c r="E17" s="46">
        <v>58</v>
      </c>
      <c r="F17" s="8"/>
      <c r="G17" s="6"/>
      <c r="H17" s="1"/>
      <c r="I17" s="1"/>
    </row>
    <row r="18" spans="1:9">
      <c r="A18" s="45">
        <v>4</v>
      </c>
      <c r="B18" s="46" t="s">
        <v>0</v>
      </c>
      <c r="C18" s="46">
        <v>13</v>
      </c>
      <c r="D18" s="46">
        <v>171</v>
      </c>
      <c r="E18" s="46">
        <v>52</v>
      </c>
      <c r="F18" s="8"/>
      <c r="G18" s="6"/>
      <c r="H18" s="1"/>
      <c r="I18" s="1"/>
    </row>
    <row r="19" spans="1:9">
      <c r="A19" s="45">
        <v>8</v>
      </c>
      <c r="B19" s="46" t="s">
        <v>0</v>
      </c>
      <c r="C19" s="46">
        <v>13</v>
      </c>
      <c r="D19" s="46">
        <v>141</v>
      </c>
      <c r="E19" s="46">
        <v>47</v>
      </c>
      <c r="F19" s="8"/>
      <c r="G19" s="6"/>
      <c r="H19" s="1"/>
      <c r="I19" s="1"/>
    </row>
    <row r="20" spans="1:9">
      <c r="A20" s="45">
        <v>9</v>
      </c>
      <c r="B20" s="46" t="s">
        <v>0</v>
      </c>
      <c r="C20" s="46">
        <v>13</v>
      </c>
      <c r="D20" s="46">
        <v>166</v>
      </c>
      <c r="E20" s="46">
        <v>45</v>
      </c>
      <c r="F20" s="8"/>
      <c r="G20" s="6"/>
      <c r="H20" s="1"/>
      <c r="I20" s="1"/>
    </row>
    <row r="21" spans="1:9">
      <c r="A21" s="45">
        <v>14</v>
      </c>
      <c r="B21" s="46" t="s">
        <v>0</v>
      </c>
      <c r="C21" s="46">
        <v>14</v>
      </c>
      <c r="D21" s="46">
        <v>162</v>
      </c>
      <c r="E21" s="46">
        <v>51</v>
      </c>
      <c r="F21" s="8"/>
      <c r="G21" s="6"/>
      <c r="H21" s="1"/>
      <c r="I21" s="1"/>
    </row>
    <row r="22" spans="1:9">
      <c r="A22" s="45">
        <v>17</v>
      </c>
      <c r="B22" s="46" t="s">
        <v>0</v>
      </c>
      <c r="C22" s="46">
        <v>14</v>
      </c>
      <c r="D22" s="46">
        <v>157</v>
      </c>
      <c r="E22" s="46">
        <v>49</v>
      </c>
      <c r="F22" s="8"/>
      <c r="G22" s="6"/>
      <c r="H22" s="1"/>
      <c r="I22" s="1"/>
    </row>
    <row r="23" spans="1:9">
      <c r="A23" s="45">
        <v>19</v>
      </c>
      <c r="B23" s="46" t="s">
        <v>0</v>
      </c>
      <c r="C23" s="46">
        <v>14</v>
      </c>
      <c r="D23" s="46">
        <v>139</v>
      </c>
      <c r="E23" s="46">
        <v>41</v>
      </c>
      <c r="F23" s="8"/>
      <c r="G23" s="6"/>
      <c r="H23" s="1"/>
      <c r="I23" s="1"/>
    </row>
    <row r="24" spans="1:9">
      <c r="A24" s="45">
        <v>22</v>
      </c>
      <c r="B24" s="46" t="s">
        <v>0</v>
      </c>
      <c r="C24" s="46">
        <v>14</v>
      </c>
      <c r="D24" s="46">
        <v>159</v>
      </c>
      <c r="E24" s="46">
        <v>52</v>
      </c>
      <c r="F24" s="8"/>
      <c r="G24" s="6"/>
      <c r="H24" s="1"/>
      <c r="I24" s="1"/>
    </row>
    <row r="25" spans="1:9">
      <c r="A25" s="45">
        <v>23</v>
      </c>
      <c r="B25" s="46" t="s">
        <v>0</v>
      </c>
      <c r="C25" s="46">
        <v>14</v>
      </c>
      <c r="D25" s="46">
        <v>170</v>
      </c>
      <c r="E25" s="46">
        <v>49</v>
      </c>
      <c r="F25" s="8"/>
      <c r="G25" s="6"/>
      <c r="H25" s="1"/>
      <c r="I25" s="1"/>
    </row>
    <row r="26" spans="1:9">
      <c r="A26" s="45">
        <v>5</v>
      </c>
      <c r="B26" s="46" t="s">
        <v>0</v>
      </c>
      <c r="C26" s="46">
        <v>15</v>
      </c>
      <c r="D26" s="46">
        <v>198</v>
      </c>
      <c r="E26" s="46">
        <v>77</v>
      </c>
      <c r="F26" s="8"/>
      <c r="G26" s="6"/>
      <c r="H26" s="1"/>
      <c r="I26" s="1"/>
    </row>
    <row r="27" spans="1:9">
      <c r="A27" s="45">
        <v>11</v>
      </c>
      <c r="B27" s="46" t="s">
        <v>0</v>
      </c>
      <c r="C27" s="46">
        <v>15</v>
      </c>
      <c r="D27" s="46">
        <v>192</v>
      </c>
      <c r="E27" s="46">
        <v>73</v>
      </c>
      <c r="F27" s="8"/>
      <c r="G27" s="6"/>
      <c r="H27" s="1"/>
      <c r="I27" s="1"/>
    </row>
    <row r="28" spans="1:9">
      <c r="A28" s="45">
        <v>27</v>
      </c>
      <c r="B28" s="46" t="s">
        <v>0</v>
      </c>
      <c r="C28" s="46">
        <v>15</v>
      </c>
      <c r="D28" s="46">
        <v>154</v>
      </c>
      <c r="E28" s="46">
        <v>52</v>
      </c>
      <c r="F28" s="8"/>
      <c r="G28" s="6"/>
      <c r="H28" s="1"/>
      <c r="I28" s="1"/>
    </row>
    <row r="29" spans="1:9">
      <c r="A29" s="45">
        <v>13</v>
      </c>
      <c r="B29" s="46" t="s">
        <v>0</v>
      </c>
      <c r="C29" s="46">
        <v>16</v>
      </c>
      <c r="D29" s="46">
        <v>170</v>
      </c>
      <c r="E29" s="46">
        <v>64</v>
      </c>
      <c r="F29" s="8"/>
      <c r="G29" s="6"/>
      <c r="H29" s="1"/>
      <c r="I29" s="1"/>
    </row>
    <row r="30" spans="1:9">
      <c r="A30" s="45">
        <v>16</v>
      </c>
      <c r="B30" s="46" t="s">
        <v>0</v>
      </c>
      <c r="C30" s="46">
        <v>17</v>
      </c>
      <c r="D30" s="46">
        <v>184</v>
      </c>
      <c r="E30" s="46">
        <v>73</v>
      </c>
      <c r="F30" s="8"/>
      <c r="G30" s="6"/>
      <c r="H30" s="1"/>
      <c r="I30" s="1"/>
    </row>
    <row r="31" spans="1:9">
      <c r="A31" s="45">
        <v>29</v>
      </c>
      <c r="B31" s="46" t="s">
        <v>0</v>
      </c>
      <c r="C31" s="46">
        <v>17</v>
      </c>
      <c r="D31" s="46">
        <v>170</v>
      </c>
      <c r="E31" s="46">
        <v>83</v>
      </c>
      <c r="F31" s="8"/>
      <c r="G31" s="6"/>
      <c r="H31" s="1"/>
      <c r="I31" s="1"/>
    </row>
    <row r="32" spans="1:9">
      <c r="B32" s="2"/>
      <c r="C32"/>
      <c r="D32" s="15"/>
      <c r="E32" s="8"/>
      <c r="F32" s="8"/>
      <c r="G32" s="6"/>
      <c r="H32" s="1"/>
      <c r="I32" s="1"/>
    </row>
    <row r="33" spans="1:8">
      <c r="A33" t="s">
        <v>68</v>
      </c>
      <c r="B33" s="2"/>
      <c r="C33" s="15">
        <f>AVERAGE(C2:C31)</f>
        <v>14.033333333333333</v>
      </c>
      <c r="D33" s="7">
        <f>AVERAGE(D2:D31)</f>
        <v>157.1</v>
      </c>
      <c r="E33" s="15">
        <f>AVERAGE(E2:E31)</f>
        <v>53.166666666666664</v>
      </c>
      <c r="F33" s="6"/>
      <c r="G33" s="6"/>
      <c r="H33" s="7"/>
    </row>
    <row r="34" spans="1:8">
      <c r="A34" t="s">
        <v>76</v>
      </c>
      <c r="B34" s="2"/>
      <c r="C34" s="7">
        <f>STDEV(C2:C31)</f>
        <v>1.4967397519466958</v>
      </c>
      <c r="D34" s="7">
        <f>STDEV(D2:D31)</f>
        <v>22.063153868399869</v>
      </c>
      <c r="E34" s="7">
        <f>STDEV(E2:E31)</f>
        <v>13.706488102061526</v>
      </c>
      <c r="F34" s="6"/>
      <c r="G34" s="6"/>
      <c r="H34" s="1"/>
    </row>
    <row r="35" spans="1:8">
      <c r="A35" t="s">
        <v>83</v>
      </c>
      <c r="B35" s="2"/>
      <c r="C35" s="7"/>
      <c r="D35" s="7"/>
      <c r="E35" s="7">
        <f>E34/E33</f>
        <v>0.257802284051314</v>
      </c>
      <c r="F35" s="6"/>
      <c r="G35" s="6"/>
      <c r="H35" s="1"/>
    </row>
    <row r="36" spans="1:8">
      <c r="A36" t="s">
        <v>14</v>
      </c>
      <c r="B36" s="2"/>
      <c r="C36"/>
      <c r="D36" s="7"/>
      <c r="E36" s="7">
        <f>SKEW(E2:E31)</f>
        <v>0.70012855384920192</v>
      </c>
      <c r="F36" s="6"/>
      <c r="G36" s="6"/>
      <c r="H36" s="1"/>
    </row>
    <row r="37" spans="1:8">
      <c r="A37" t="s">
        <v>13</v>
      </c>
      <c r="B37" s="2"/>
      <c r="C37"/>
      <c r="D37" s="7"/>
      <c r="E37" s="7">
        <f>KURT(E2:E31)</f>
        <v>-0.17278852698149461</v>
      </c>
      <c r="F37" s="6"/>
      <c r="G37" s="6"/>
      <c r="H37" s="1"/>
    </row>
    <row r="38" spans="1:8">
      <c r="A38" t="s">
        <v>99</v>
      </c>
      <c r="B38" s="2"/>
      <c r="C38"/>
      <c r="D38" s="7"/>
      <c r="E38" s="7">
        <f>CONFIDENCE(0.05,E34,30)</f>
        <v>4.9047136486274736</v>
      </c>
      <c r="F38" s="6"/>
      <c r="G38" s="6"/>
      <c r="H38" s="1"/>
    </row>
    <row r="39" spans="1:8">
      <c r="A39" t="s">
        <v>104</v>
      </c>
      <c r="B39" s="2"/>
      <c r="C39"/>
      <c r="D39" s="7"/>
      <c r="E39" s="7">
        <f>E33-E38</f>
        <v>48.261953018039193</v>
      </c>
      <c r="F39" s="6"/>
      <c r="G39" s="6"/>
      <c r="H39" s="1"/>
    </row>
    <row r="40" spans="1:8">
      <c r="A40" t="s">
        <v>103</v>
      </c>
      <c r="B40" s="2"/>
      <c r="C40"/>
      <c r="D40" s="7"/>
      <c r="E40" s="7">
        <f>E33+E38</f>
        <v>58.071380315294135</v>
      </c>
      <c r="F40" s="6"/>
      <c r="G40" s="6"/>
      <c r="H40" s="1"/>
    </row>
    <row r="41" spans="1:8">
      <c r="B41" s="2"/>
      <c r="C41"/>
      <c r="D41" s="7"/>
      <c r="E41" s="7"/>
      <c r="F41" s="6"/>
      <c r="G41" s="6"/>
      <c r="H41" s="1"/>
    </row>
    <row r="42" spans="1:8">
      <c r="A42" t="s">
        <v>21</v>
      </c>
      <c r="B42" s="2"/>
      <c r="C42"/>
      <c r="D42" t="s">
        <v>22</v>
      </c>
      <c r="F42" s="6" t="s">
        <v>97</v>
      </c>
      <c r="G42" s="6"/>
      <c r="H42" s="1"/>
    </row>
    <row r="43" spans="1:8">
      <c r="A43">
        <v>120</v>
      </c>
      <c r="B43" s="2"/>
      <c r="C43"/>
      <c r="D43">
        <v>40</v>
      </c>
      <c r="F43" s="1">
        <v>12</v>
      </c>
      <c r="G43" s="6"/>
      <c r="H43" s="1"/>
    </row>
    <row r="44" spans="1:8">
      <c r="A44">
        <v>140</v>
      </c>
      <c r="B44" s="2"/>
      <c r="C44"/>
      <c r="D44">
        <v>50</v>
      </c>
      <c r="F44" s="1">
        <v>13</v>
      </c>
      <c r="G44" s="6"/>
      <c r="H44" s="1"/>
    </row>
    <row r="45" spans="1:8">
      <c r="A45">
        <v>160</v>
      </c>
      <c r="B45" s="2"/>
      <c r="C45"/>
      <c r="D45">
        <v>60</v>
      </c>
      <c r="F45" s="1">
        <v>14</v>
      </c>
      <c r="G45" s="6"/>
      <c r="H45" s="1"/>
    </row>
    <row r="46" spans="1:8">
      <c r="A46">
        <v>180</v>
      </c>
      <c r="B46" s="2"/>
      <c r="C46"/>
      <c r="D46">
        <v>70</v>
      </c>
      <c r="F46" s="1">
        <v>15</v>
      </c>
      <c r="G46" s="6"/>
      <c r="H46" s="1"/>
    </row>
    <row r="47" spans="1:8">
      <c r="A47">
        <v>200</v>
      </c>
      <c r="B47" s="2"/>
      <c r="C47"/>
      <c r="D47">
        <v>80</v>
      </c>
      <c r="F47" s="1">
        <v>16</v>
      </c>
      <c r="G47" s="6"/>
      <c r="H47" s="1"/>
    </row>
    <row r="48" spans="1:8">
      <c r="B48" s="2"/>
      <c r="C48"/>
      <c r="D48">
        <v>90</v>
      </c>
      <c r="F48" s="1">
        <v>17</v>
      </c>
      <c r="G48" s="6"/>
      <c r="H48" s="1"/>
    </row>
    <row r="49" spans="1:10">
      <c r="D49" s="8"/>
    </row>
    <row r="51" spans="1:10">
      <c r="A51" s="2" t="s">
        <v>6</v>
      </c>
      <c r="B51" s="2" t="s">
        <v>2</v>
      </c>
      <c r="C51" s="2" t="s">
        <v>1</v>
      </c>
      <c r="D51" s="2" t="s">
        <v>4</v>
      </c>
      <c r="E51" s="2" t="s">
        <v>3</v>
      </c>
      <c r="G51" s="24" t="s">
        <v>1</v>
      </c>
      <c r="H51" s="24" t="s">
        <v>72</v>
      </c>
      <c r="I51" s="23"/>
      <c r="J51" s="12"/>
    </row>
    <row r="52" spans="1:10">
      <c r="A52">
        <v>1</v>
      </c>
      <c r="B52" s="2" t="s">
        <v>0</v>
      </c>
      <c r="C52">
        <v>12</v>
      </c>
      <c r="D52">
        <v>157</v>
      </c>
      <c r="E52">
        <v>66</v>
      </c>
      <c r="G52" s="24">
        <v>12</v>
      </c>
      <c r="H52" s="25">
        <f>AVERAGE(E52:E56)</f>
        <v>48.4</v>
      </c>
      <c r="I52" s="23"/>
      <c r="J52" s="12"/>
    </row>
    <row r="53" spans="1:10">
      <c r="A53">
        <v>6</v>
      </c>
      <c r="B53" s="2" t="s">
        <v>5</v>
      </c>
      <c r="C53">
        <v>12</v>
      </c>
      <c r="D53">
        <v>145</v>
      </c>
      <c r="E53">
        <v>59</v>
      </c>
      <c r="G53" s="24">
        <v>13</v>
      </c>
      <c r="H53" s="25">
        <f>AVERAGE(E57:E62)</f>
        <v>50</v>
      </c>
      <c r="I53" s="23"/>
      <c r="J53" s="12"/>
    </row>
    <row r="54" spans="1:10">
      <c r="A54">
        <v>20</v>
      </c>
      <c r="B54" s="2" t="s">
        <v>5</v>
      </c>
      <c r="C54">
        <v>12</v>
      </c>
      <c r="D54">
        <v>151</v>
      </c>
      <c r="E54">
        <v>49</v>
      </c>
      <c r="G54" s="24">
        <v>14</v>
      </c>
      <c r="H54" s="25">
        <f>AVERAGE(E63:E72)</f>
        <v>49.5</v>
      </c>
      <c r="I54" s="23"/>
      <c r="J54" s="11"/>
    </row>
    <row r="55" spans="1:10">
      <c r="A55">
        <v>21</v>
      </c>
      <c r="B55" s="2" t="s">
        <v>0</v>
      </c>
      <c r="C55">
        <v>12</v>
      </c>
      <c r="D55">
        <v>115</v>
      </c>
      <c r="E55">
        <v>36</v>
      </c>
      <c r="G55" s="24">
        <v>15</v>
      </c>
      <c r="H55" s="25">
        <f>AVERAGE(E73:E76)</f>
        <v>61.75</v>
      </c>
      <c r="I55" s="23"/>
      <c r="J55" s="3"/>
    </row>
    <row r="56" spans="1:10">
      <c r="A56">
        <v>26</v>
      </c>
      <c r="B56" s="2" t="s">
        <v>5</v>
      </c>
      <c r="C56">
        <v>12</v>
      </c>
      <c r="D56">
        <v>118</v>
      </c>
      <c r="E56">
        <v>32</v>
      </c>
      <c r="G56" s="24">
        <v>16</v>
      </c>
      <c r="H56" s="25">
        <f>AVERAGE(E77:E78)</f>
        <v>56.5</v>
      </c>
      <c r="I56" s="23"/>
      <c r="J56" s="3"/>
    </row>
    <row r="57" spans="1:10">
      <c r="A57">
        <v>3</v>
      </c>
      <c r="B57" s="2" t="s">
        <v>0</v>
      </c>
      <c r="C57">
        <v>13</v>
      </c>
      <c r="D57">
        <v>174</v>
      </c>
      <c r="E57">
        <v>58</v>
      </c>
      <c r="G57" s="24">
        <v>17</v>
      </c>
      <c r="H57" s="25">
        <f>AVERAGE(E79:E81)</f>
        <v>66</v>
      </c>
      <c r="I57" s="23"/>
      <c r="J57" s="3"/>
    </row>
    <row r="58" spans="1:10">
      <c r="A58">
        <v>4</v>
      </c>
      <c r="B58" s="2" t="s">
        <v>0</v>
      </c>
      <c r="C58">
        <v>13</v>
      </c>
      <c r="D58">
        <v>171</v>
      </c>
      <c r="E58">
        <v>52</v>
      </c>
      <c r="G58" s="23"/>
      <c r="H58" s="23"/>
      <c r="I58" s="23"/>
      <c r="J58" s="3"/>
    </row>
    <row r="59" spans="1:10">
      <c r="A59">
        <v>7</v>
      </c>
      <c r="B59" s="2" t="s">
        <v>5</v>
      </c>
      <c r="C59">
        <v>13</v>
      </c>
      <c r="D59">
        <v>166</v>
      </c>
      <c r="E59">
        <v>59</v>
      </c>
      <c r="G59" s="23"/>
      <c r="H59" s="23"/>
      <c r="I59" s="23"/>
      <c r="J59" s="3"/>
    </row>
    <row r="60" spans="1:10">
      <c r="A60">
        <v>8</v>
      </c>
      <c r="B60" s="2" t="s">
        <v>0</v>
      </c>
      <c r="C60">
        <v>13</v>
      </c>
      <c r="D60">
        <v>141</v>
      </c>
      <c r="E60">
        <v>47</v>
      </c>
      <c r="G60" s="23"/>
      <c r="H60" s="23"/>
      <c r="I60" s="23"/>
      <c r="J60" s="3"/>
    </row>
    <row r="61" spans="1:10">
      <c r="A61">
        <v>9</v>
      </c>
      <c r="B61" s="2" t="s">
        <v>0</v>
      </c>
      <c r="C61">
        <v>13</v>
      </c>
      <c r="D61">
        <v>166</v>
      </c>
      <c r="E61">
        <v>45</v>
      </c>
      <c r="G61" s="3"/>
      <c r="H61" s="3"/>
      <c r="I61" s="3"/>
      <c r="J61" s="3"/>
    </row>
    <row r="62" spans="1:10">
      <c r="A62">
        <v>10</v>
      </c>
      <c r="B62" s="2" t="s">
        <v>5</v>
      </c>
      <c r="C62">
        <v>13</v>
      </c>
      <c r="D62">
        <v>160</v>
      </c>
      <c r="E62">
        <v>39</v>
      </c>
      <c r="G62" s="3"/>
      <c r="H62" s="3"/>
      <c r="I62" s="3"/>
      <c r="J62" s="3"/>
    </row>
    <row r="63" spans="1:10">
      <c r="A63">
        <v>2</v>
      </c>
      <c r="B63" s="2" t="s">
        <v>5</v>
      </c>
      <c r="C63">
        <v>14</v>
      </c>
      <c r="D63">
        <v>151</v>
      </c>
      <c r="E63">
        <v>41</v>
      </c>
      <c r="G63" s="3"/>
      <c r="H63" s="3"/>
      <c r="I63" s="3"/>
      <c r="J63" s="3"/>
    </row>
    <row r="64" spans="1:10">
      <c r="A64">
        <v>12</v>
      </c>
      <c r="B64" s="2" t="s">
        <v>5</v>
      </c>
      <c r="C64">
        <v>14</v>
      </c>
      <c r="D64">
        <v>166</v>
      </c>
      <c r="E64">
        <v>49</v>
      </c>
      <c r="G64" s="3"/>
      <c r="H64" s="3"/>
      <c r="I64" s="3"/>
      <c r="J64" s="3"/>
    </row>
    <row r="65" spans="1:10">
      <c r="A65">
        <v>14</v>
      </c>
      <c r="B65" s="2" t="s">
        <v>0</v>
      </c>
      <c r="C65">
        <v>14</v>
      </c>
      <c r="D65">
        <v>162</v>
      </c>
      <c r="E65">
        <v>51</v>
      </c>
      <c r="G65" s="3"/>
      <c r="H65" s="3"/>
      <c r="I65" s="3"/>
      <c r="J65" s="3"/>
    </row>
    <row r="66" spans="1:10">
      <c r="A66">
        <v>15</v>
      </c>
      <c r="B66" s="2" t="s">
        <v>5</v>
      </c>
      <c r="C66">
        <v>14</v>
      </c>
      <c r="D66">
        <v>185</v>
      </c>
      <c r="E66">
        <v>81</v>
      </c>
      <c r="G66" s="3"/>
      <c r="H66" s="3"/>
      <c r="I66" s="3"/>
      <c r="J66" s="3"/>
    </row>
    <row r="67" spans="1:10">
      <c r="A67">
        <v>17</v>
      </c>
      <c r="B67" s="2" t="s">
        <v>0</v>
      </c>
      <c r="C67">
        <v>14</v>
      </c>
      <c r="D67">
        <v>157</v>
      </c>
      <c r="E67">
        <v>49</v>
      </c>
      <c r="G67" s="3"/>
      <c r="H67" s="3"/>
      <c r="I67" s="3"/>
      <c r="J67" s="3"/>
    </row>
    <row r="68" spans="1:10">
      <c r="A68">
        <v>18</v>
      </c>
      <c r="B68" s="2" t="s">
        <v>5</v>
      </c>
      <c r="C68">
        <v>14</v>
      </c>
      <c r="D68">
        <v>176</v>
      </c>
      <c r="E68">
        <v>49</v>
      </c>
      <c r="G68" s="3"/>
      <c r="H68" s="3"/>
      <c r="I68" s="3"/>
      <c r="J68" s="3"/>
    </row>
    <row r="69" spans="1:10">
      <c r="A69">
        <v>19</v>
      </c>
      <c r="B69" s="2" t="s">
        <v>0</v>
      </c>
      <c r="C69">
        <v>14</v>
      </c>
      <c r="D69">
        <v>139</v>
      </c>
      <c r="E69">
        <v>41</v>
      </c>
      <c r="G69" s="3"/>
      <c r="H69" s="3"/>
      <c r="I69" s="3"/>
      <c r="J69" s="3"/>
    </row>
    <row r="70" spans="1:10">
      <c r="A70">
        <v>22</v>
      </c>
      <c r="B70" s="2" t="s">
        <v>0</v>
      </c>
      <c r="C70">
        <v>14</v>
      </c>
      <c r="D70">
        <v>159</v>
      </c>
      <c r="E70">
        <v>52</v>
      </c>
      <c r="G70" s="3"/>
      <c r="H70" s="3"/>
      <c r="I70" s="3"/>
      <c r="J70" s="3"/>
    </row>
    <row r="71" spans="1:10">
      <c r="A71">
        <v>23</v>
      </c>
      <c r="B71" s="2" t="s">
        <v>0</v>
      </c>
      <c r="C71">
        <v>14</v>
      </c>
      <c r="D71">
        <v>170</v>
      </c>
      <c r="E71">
        <v>49</v>
      </c>
      <c r="G71" s="3"/>
      <c r="H71" s="3"/>
      <c r="I71" s="3"/>
      <c r="J71" s="3"/>
    </row>
    <row r="72" spans="1:10">
      <c r="A72">
        <v>25</v>
      </c>
      <c r="B72" s="2" t="s">
        <v>5</v>
      </c>
      <c r="C72">
        <v>14</v>
      </c>
      <c r="D72">
        <v>125</v>
      </c>
      <c r="E72">
        <v>33</v>
      </c>
      <c r="G72" s="3"/>
      <c r="H72" s="3"/>
      <c r="I72" s="3"/>
      <c r="J72" s="3"/>
    </row>
    <row r="73" spans="1:10">
      <c r="A73">
        <v>5</v>
      </c>
      <c r="B73" s="2" t="s">
        <v>0</v>
      </c>
      <c r="C73">
        <v>15</v>
      </c>
      <c r="D73">
        <v>198</v>
      </c>
      <c r="E73">
        <v>77</v>
      </c>
      <c r="G73" s="3"/>
      <c r="H73" s="3"/>
      <c r="I73" s="3"/>
      <c r="J73" s="3"/>
    </row>
    <row r="74" spans="1:10">
      <c r="A74">
        <v>11</v>
      </c>
      <c r="B74" s="2" t="s">
        <v>0</v>
      </c>
      <c r="C74">
        <v>15</v>
      </c>
      <c r="D74">
        <v>192</v>
      </c>
      <c r="E74">
        <v>73</v>
      </c>
      <c r="G74" s="3"/>
      <c r="H74" s="3"/>
      <c r="I74" s="3"/>
      <c r="J74" s="3"/>
    </row>
    <row r="75" spans="1:10">
      <c r="A75">
        <v>27</v>
      </c>
      <c r="B75" s="2" t="s">
        <v>0</v>
      </c>
      <c r="C75">
        <v>15</v>
      </c>
      <c r="D75">
        <v>154</v>
      </c>
      <c r="E75">
        <v>52</v>
      </c>
      <c r="G75" s="3"/>
      <c r="H75" s="3"/>
      <c r="I75" s="3"/>
      <c r="J75" s="3"/>
    </row>
    <row r="76" spans="1:10">
      <c r="A76">
        <v>30</v>
      </c>
      <c r="B76" s="2" t="s">
        <v>5</v>
      </c>
      <c r="C76">
        <v>15</v>
      </c>
      <c r="D76">
        <v>152</v>
      </c>
      <c r="E76">
        <v>45</v>
      </c>
      <c r="G76" s="3"/>
      <c r="H76" s="3"/>
      <c r="I76" s="3"/>
      <c r="J76" s="3"/>
    </row>
    <row r="77" spans="1:10">
      <c r="A77">
        <v>13</v>
      </c>
      <c r="B77" s="2" t="s">
        <v>0</v>
      </c>
      <c r="C77">
        <v>16</v>
      </c>
      <c r="D77">
        <v>170</v>
      </c>
      <c r="E77">
        <v>64</v>
      </c>
      <c r="G77" s="3"/>
      <c r="H77" s="3"/>
      <c r="I77" s="3"/>
      <c r="J77" s="3"/>
    </row>
    <row r="78" spans="1:10">
      <c r="A78">
        <v>24</v>
      </c>
      <c r="B78" s="2" t="s">
        <v>5</v>
      </c>
      <c r="C78">
        <v>16</v>
      </c>
      <c r="D78">
        <v>127</v>
      </c>
      <c r="E78">
        <v>49</v>
      </c>
      <c r="G78" s="3"/>
      <c r="H78" s="3"/>
      <c r="I78" s="3"/>
      <c r="J78" s="3"/>
    </row>
    <row r="79" spans="1:10">
      <c r="A79">
        <v>16</v>
      </c>
      <c r="B79" s="2" t="s">
        <v>0</v>
      </c>
      <c r="C79">
        <v>17</v>
      </c>
      <c r="D79">
        <v>184</v>
      </c>
      <c r="E79">
        <v>73</v>
      </c>
      <c r="G79" s="3"/>
      <c r="H79" s="3"/>
      <c r="I79" s="3"/>
      <c r="J79" s="3"/>
    </row>
    <row r="80" spans="1:10">
      <c r="A80">
        <v>28</v>
      </c>
      <c r="B80" s="2" t="s">
        <v>5</v>
      </c>
      <c r="C80">
        <v>17</v>
      </c>
      <c r="D80">
        <v>112</v>
      </c>
      <c r="E80">
        <v>42</v>
      </c>
      <c r="G80" s="3"/>
      <c r="H80" s="3"/>
      <c r="I80" s="3"/>
      <c r="J80" s="3"/>
    </row>
    <row r="81" spans="1:10">
      <c r="A81">
        <v>29</v>
      </c>
      <c r="B81" s="2" t="s">
        <v>0</v>
      </c>
      <c r="C81">
        <v>17</v>
      </c>
      <c r="D81">
        <v>170</v>
      </c>
      <c r="E81">
        <v>83</v>
      </c>
      <c r="G81" s="3"/>
      <c r="H81" s="3"/>
      <c r="I81" s="3"/>
      <c r="J81" s="3"/>
    </row>
    <row r="82" spans="1:10">
      <c r="G82" s="3"/>
      <c r="H82" s="3"/>
      <c r="I82" s="3"/>
      <c r="J82" s="3"/>
    </row>
    <row r="83" spans="1:10">
      <c r="G83" s="3"/>
      <c r="H83" s="3"/>
      <c r="I83" s="3"/>
      <c r="J83" s="3"/>
    </row>
    <row r="84" spans="1:10">
      <c r="G84" s="3"/>
      <c r="H84" s="3"/>
      <c r="I84" s="3"/>
      <c r="J84" s="3"/>
    </row>
    <row r="85" spans="1:10">
      <c r="A85" s="2" t="s">
        <v>6</v>
      </c>
      <c r="B85" s="2" t="s">
        <v>2</v>
      </c>
      <c r="C85" s="2" t="s">
        <v>1</v>
      </c>
      <c r="D85" s="2" t="s">
        <v>4</v>
      </c>
      <c r="E85" s="2" t="s">
        <v>3</v>
      </c>
    </row>
    <row r="86" spans="1:10">
      <c r="A86">
        <v>2</v>
      </c>
      <c r="B86" s="2" t="s">
        <v>5</v>
      </c>
      <c r="C86">
        <v>14</v>
      </c>
      <c r="D86">
        <v>151</v>
      </c>
      <c r="E86">
        <v>41</v>
      </c>
    </row>
    <row r="87" spans="1:10">
      <c r="A87">
        <v>6</v>
      </c>
      <c r="B87" s="2" t="s">
        <v>5</v>
      </c>
      <c r="C87">
        <v>12</v>
      </c>
      <c r="D87">
        <v>145</v>
      </c>
      <c r="E87">
        <v>59</v>
      </c>
    </row>
    <row r="88" spans="1:10">
      <c r="A88">
        <v>7</v>
      </c>
      <c r="B88" s="2" t="s">
        <v>5</v>
      </c>
      <c r="C88">
        <v>13</v>
      </c>
      <c r="D88">
        <v>166</v>
      </c>
      <c r="E88">
        <v>59</v>
      </c>
    </row>
    <row r="89" spans="1:10">
      <c r="A89">
        <v>10</v>
      </c>
      <c r="B89" s="2" t="s">
        <v>5</v>
      </c>
      <c r="C89">
        <v>13</v>
      </c>
      <c r="D89">
        <v>160</v>
      </c>
      <c r="E89">
        <v>39</v>
      </c>
    </row>
    <row r="90" spans="1:10">
      <c r="A90">
        <v>12</v>
      </c>
      <c r="B90" s="2" t="s">
        <v>5</v>
      </c>
      <c r="C90">
        <v>14</v>
      </c>
      <c r="D90">
        <v>166</v>
      </c>
      <c r="E90">
        <v>49</v>
      </c>
    </row>
    <row r="91" spans="1:10">
      <c r="A91">
        <v>15</v>
      </c>
      <c r="B91" s="2" t="s">
        <v>5</v>
      </c>
      <c r="C91">
        <v>14</v>
      </c>
      <c r="D91">
        <v>185</v>
      </c>
      <c r="E91">
        <v>81</v>
      </c>
    </row>
    <row r="92" spans="1:10">
      <c r="A92">
        <v>18</v>
      </c>
      <c r="B92" s="2" t="s">
        <v>5</v>
      </c>
      <c r="C92">
        <v>14</v>
      </c>
      <c r="D92">
        <v>176</v>
      </c>
      <c r="E92">
        <v>49</v>
      </c>
    </row>
    <row r="93" spans="1:10">
      <c r="A93">
        <v>20</v>
      </c>
      <c r="B93" s="2" t="s">
        <v>5</v>
      </c>
      <c r="C93">
        <v>12</v>
      </c>
      <c r="D93">
        <v>151</v>
      </c>
      <c r="E93">
        <v>49</v>
      </c>
    </row>
    <row r="94" spans="1:10">
      <c r="A94">
        <v>24</v>
      </c>
      <c r="B94" s="2" t="s">
        <v>5</v>
      </c>
      <c r="C94">
        <v>16</v>
      </c>
      <c r="D94">
        <v>127</v>
      </c>
      <c r="E94">
        <v>49</v>
      </c>
    </row>
    <row r="95" spans="1:10">
      <c r="A95">
        <v>25</v>
      </c>
      <c r="B95" s="2" t="s">
        <v>5</v>
      </c>
      <c r="C95">
        <v>14</v>
      </c>
      <c r="D95">
        <v>125</v>
      </c>
      <c r="E95">
        <v>33</v>
      </c>
    </row>
    <row r="96" spans="1:10">
      <c r="A96">
        <v>26</v>
      </c>
      <c r="B96" s="2" t="s">
        <v>5</v>
      </c>
      <c r="C96">
        <v>12</v>
      </c>
      <c r="D96">
        <v>118</v>
      </c>
      <c r="E96">
        <v>32</v>
      </c>
    </row>
    <row r="97" spans="1:5">
      <c r="A97">
        <v>28</v>
      </c>
      <c r="B97" s="2" t="s">
        <v>5</v>
      </c>
      <c r="C97">
        <v>17</v>
      </c>
      <c r="D97">
        <v>112</v>
      </c>
      <c r="E97">
        <v>42</v>
      </c>
    </row>
    <row r="98" spans="1:5">
      <c r="A98">
        <v>30</v>
      </c>
      <c r="B98" s="2" t="s">
        <v>5</v>
      </c>
      <c r="C98">
        <v>15</v>
      </c>
      <c r="D98">
        <v>152</v>
      </c>
      <c r="E98">
        <v>45</v>
      </c>
    </row>
    <row r="99" spans="1:5">
      <c r="A99">
        <v>1</v>
      </c>
      <c r="B99" s="2" t="s">
        <v>0</v>
      </c>
      <c r="C99">
        <v>12</v>
      </c>
      <c r="D99">
        <v>157</v>
      </c>
      <c r="E99">
        <v>66</v>
      </c>
    </row>
    <row r="100" spans="1:5">
      <c r="A100">
        <v>3</v>
      </c>
      <c r="B100" s="2" t="s">
        <v>0</v>
      </c>
      <c r="C100">
        <v>13</v>
      </c>
      <c r="D100">
        <v>174</v>
      </c>
      <c r="E100">
        <v>58</v>
      </c>
    </row>
    <row r="101" spans="1:5">
      <c r="A101">
        <v>4</v>
      </c>
      <c r="B101" s="2" t="s">
        <v>0</v>
      </c>
      <c r="C101">
        <v>13</v>
      </c>
      <c r="D101">
        <v>171</v>
      </c>
      <c r="E101">
        <v>52</v>
      </c>
    </row>
    <row r="102" spans="1:5">
      <c r="A102">
        <v>5</v>
      </c>
      <c r="B102" s="2" t="s">
        <v>0</v>
      </c>
      <c r="C102">
        <v>15</v>
      </c>
      <c r="D102">
        <v>198</v>
      </c>
      <c r="E102">
        <v>77</v>
      </c>
    </row>
    <row r="103" spans="1:5">
      <c r="A103">
        <v>8</v>
      </c>
      <c r="B103" s="2" t="s">
        <v>0</v>
      </c>
      <c r="C103">
        <v>13</v>
      </c>
      <c r="D103">
        <v>141</v>
      </c>
      <c r="E103">
        <v>47</v>
      </c>
    </row>
    <row r="104" spans="1:5">
      <c r="A104">
        <v>9</v>
      </c>
      <c r="B104" s="2" t="s">
        <v>0</v>
      </c>
      <c r="C104">
        <v>13</v>
      </c>
      <c r="D104">
        <v>166</v>
      </c>
      <c r="E104">
        <v>45</v>
      </c>
    </row>
    <row r="105" spans="1:5">
      <c r="A105">
        <v>11</v>
      </c>
      <c r="B105" s="2" t="s">
        <v>0</v>
      </c>
      <c r="C105">
        <v>15</v>
      </c>
      <c r="D105">
        <v>192</v>
      </c>
      <c r="E105">
        <v>73</v>
      </c>
    </row>
    <row r="106" spans="1:5">
      <c r="A106">
        <v>13</v>
      </c>
      <c r="B106" s="2" t="s">
        <v>0</v>
      </c>
      <c r="C106">
        <v>16</v>
      </c>
      <c r="D106">
        <v>170</v>
      </c>
      <c r="E106">
        <v>64</v>
      </c>
    </row>
    <row r="107" spans="1:5">
      <c r="A107">
        <v>14</v>
      </c>
      <c r="B107" s="2" t="s">
        <v>0</v>
      </c>
      <c r="C107">
        <v>14</v>
      </c>
      <c r="D107">
        <v>162</v>
      </c>
      <c r="E107">
        <v>51</v>
      </c>
    </row>
    <row r="108" spans="1:5">
      <c r="A108">
        <v>16</v>
      </c>
      <c r="B108" s="2" t="s">
        <v>0</v>
      </c>
      <c r="C108">
        <v>17</v>
      </c>
      <c r="D108">
        <v>184</v>
      </c>
      <c r="E108">
        <v>73</v>
      </c>
    </row>
    <row r="109" spans="1:5">
      <c r="A109">
        <v>17</v>
      </c>
      <c r="B109" s="2" t="s">
        <v>0</v>
      </c>
      <c r="C109">
        <v>14</v>
      </c>
      <c r="D109">
        <v>157</v>
      </c>
      <c r="E109">
        <v>49</v>
      </c>
    </row>
    <row r="110" spans="1:5">
      <c r="A110">
        <v>19</v>
      </c>
      <c r="B110" s="2" t="s">
        <v>0</v>
      </c>
      <c r="C110">
        <v>14</v>
      </c>
      <c r="D110">
        <v>139</v>
      </c>
      <c r="E110">
        <v>41</v>
      </c>
    </row>
    <row r="111" spans="1:5">
      <c r="A111">
        <v>21</v>
      </c>
      <c r="B111" s="2" t="s">
        <v>0</v>
      </c>
      <c r="C111">
        <v>12</v>
      </c>
      <c r="D111">
        <v>115</v>
      </c>
      <c r="E111">
        <v>36</v>
      </c>
    </row>
    <row r="112" spans="1:5">
      <c r="A112">
        <v>22</v>
      </c>
      <c r="B112" s="2" t="s">
        <v>0</v>
      </c>
      <c r="C112">
        <v>14</v>
      </c>
      <c r="D112">
        <v>159</v>
      </c>
      <c r="E112">
        <v>52</v>
      </c>
    </row>
    <row r="113" spans="1:5">
      <c r="A113">
        <v>23</v>
      </c>
      <c r="B113" s="2" t="s">
        <v>0</v>
      </c>
      <c r="C113">
        <v>14</v>
      </c>
      <c r="D113">
        <v>170</v>
      </c>
      <c r="E113">
        <v>49</v>
      </c>
    </row>
    <row r="114" spans="1:5">
      <c r="A114">
        <v>27</v>
      </c>
      <c r="B114" s="2" t="s">
        <v>0</v>
      </c>
      <c r="C114">
        <v>15</v>
      </c>
      <c r="D114">
        <v>154</v>
      </c>
      <c r="E114">
        <v>52</v>
      </c>
    </row>
    <row r="115" spans="1:5">
      <c r="A115">
        <v>29</v>
      </c>
      <c r="B115" s="2" t="s">
        <v>0</v>
      </c>
      <c r="C115">
        <v>17</v>
      </c>
      <c r="D115">
        <v>170</v>
      </c>
      <c r="E115">
        <v>83</v>
      </c>
    </row>
  </sheetData>
  <phoneticPr fontId="0" type="noConversion"/>
  <pageMargins left="0.75" right="0.75" top="1" bottom="1" header="0.5" footer="0.5"/>
  <pageSetup paperSize="9" orientation="portrait" horizontalDpi="200" verticalDpi="2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2:G54"/>
  <sheetViews>
    <sheetView workbookViewId="0"/>
  </sheetViews>
  <sheetFormatPr defaultRowHeight="12.75"/>
  <cols>
    <col min="1" max="1" width="17.7109375" bestFit="1" customWidth="1"/>
    <col min="2" max="2" width="15.42578125" bestFit="1" customWidth="1"/>
    <col min="3" max="3" width="12.5703125" bestFit="1" customWidth="1"/>
    <col min="4" max="4" width="17.140625" bestFit="1" customWidth="1"/>
    <col min="5" max="5" width="12.42578125" bestFit="1" customWidth="1"/>
    <col min="6" max="6" width="25.85546875" bestFit="1" customWidth="1"/>
    <col min="7" max="7" width="12" bestFit="1" customWidth="1"/>
  </cols>
  <sheetData>
    <row r="2" spans="1:7" ht="13.5" thickBot="1"/>
    <row r="3" spans="1:7">
      <c r="A3" s="5"/>
      <c r="B3" s="5"/>
    </row>
    <row r="4" spans="1:7">
      <c r="A4" s="3" t="s">
        <v>40</v>
      </c>
      <c r="B4" s="3">
        <v>0.74602253478222358</v>
      </c>
    </row>
    <row r="5" spans="1:7">
      <c r="A5" s="3" t="s">
        <v>41</v>
      </c>
      <c r="B5" s="3">
        <v>0.55654962240289396</v>
      </c>
    </row>
    <row r="6" spans="1:7">
      <c r="A6" s="3" t="s">
        <v>42</v>
      </c>
      <c r="B6" s="3">
        <v>0.54071210891728305</v>
      </c>
    </row>
    <row r="7" spans="1:7">
      <c r="A7" s="3" t="s">
        <v>43</v>
      </c>
      <c r="B7" s="3">
        <v>14.952371939673112</v>
      </c>
    </row>
    <row r="8" spans="1:7" ht="13.5" thickBot="1">
      <c r="A8" s="3" t="s">
        <v>44</v>
      </c>
      <c r="B8" s="4">
        <v>30</v>
      </c>
    </row>
    <row r="10" spans="1:7" ht="13.5" thickBot="1"/>
    <row r="11" spans="1:7">
      <c r="A11" s="5"/>
      <c r="B11" s="5" t="s">
        <v>23</v>
      </c>
      <c r="C11" s="5" t="s">
        <v>24</v>
      </c>
      <c r="D11" s="5" t="s">
        <v>25</v>
      </c>
      <c r="E11" s="5" t="s">
        <v>26</v>
      </c>
      <c r="F11" s="5" t="s">
        <v>27</v>
      </c>
    </row>
    <row r="12" spans="1:7">
      <c r="A12" s="3" t="s">
        <v>45</v>
      </c>
      <c r="B12" s="3">
        <v>1</v>
      </c>
      <c r="C12" s="3">
        <v>7856.6440545749329</v>
      </c>
      <c r="D12" s="3">
        <v>7856.6440545749329</v>
      </c>
      <c r="E12" s="3">
        <v>35.14122484621992</v>
      </c>
      <c r="F12" s="3">
        <v>2.2216025819997716E-6</v>
      </c>
    </row>
    <row r="13" spans="1:7">
      <c r="A13" s="3" t="s">
        <v>46</v>
      </c>
      <c r="B13" s="3">
        <v>28</v>
      </c>
      <c r="C13" s="3">
        <v>6260.0559454250679</v>
      </c>
      <c r="D13" s="3">
        <v>223.57342662232386</v>
      </c>
      <c r="E13" s="3"/>
      <c r="F13" s="3"/>
    </row>
    <row r="14" spans="1:7" ht="13.5" thickBot="1">
      <c r="A14" s="3" t="s">
        <v>47</v>
      </c>
      <c r="B14" s="4">
        <v>29</v>
      </c>
      <c r="C14" s="4">
        <v>14116.7</v>
      </c>
      <c r="D14" s="4"/>
      <c r="E14" s="4"/>
      <c r="F14" s="4"/>
    </row>
    <row r="15" spans="1:7" ht="13.5" thickBot="1"/>
    <row r="16" spans="1:7">
      <c r="A16" s="5"/>
      <c r="B16" s="5" t="s">
        <v>28</v>
      </c>
      <c r="C16" s="5" t="s">
        <v>8</v>
      </c>
      <c r="D16" s="5" t="s">
        <v>29</v>
      </c>
      <c r="E16" s="5" t="s">
        <v>30</v>
      </c>
      <c r="F16" s="5" t="s">
        <v>31</v>
      </c>
      <c r="G16" s="5" t="s">
        <v>32</v>
      </c>
    </row>
    <row r="17" spans="1:7">
      <c r="A17" s="3" t="s">
        <v>48</v>
      </c>
      <c r="B17" s="3">
        <v>93.254134418305853</v>
      </c>
      <c r="C17" s="3">
        <v>11.110803604564218</v>
      </c>
      <c r="D17" s="3">
        <v>8.3931043817566806</v>
      </c>
      <c r="E17" s="3">
        <v>3.9547595315209489E-9</v>
      </c>
      <c r="F17" s="3">
        <v>70.494659405752472</v>
      </c>
      <c r="G17" s="3">
        <v>116.01360943085923</v>
      </c>
    </row>
    <row r="18" spans="1:7" ht="13.5" thickBot="1">
      <c r="A18" s="4" t="s">
        <v>3</v>
      </c>
      <c r="B18" s="4">
        <v>1.2008626755177585</v>
      </c>
      <c r="C18" s="4">
        <v>0.20257455762640225</v>
      </c>
      <c r="D18" s="4">
        <v>5.9280034451929904</v>
      </c>
      <c r="E18" s="4">
        <v>2.2216025819997487E-6</v>
      </c>
      <c r="F18" s="4">
        <v>0.78590703895307223</v>
      </c>
      <c r="G18" s="4">
        <v>1.6158183120824448</v>
      </c>
    </row>
    <row r="22" spans="1:7">
      <c r="A22" t="s">
        <v>33</v>
      </c>
      <c r="F22" t="s">
        <v>38</v>
      </c>
    </row>
    <row r="23" spans="1:7" ht="13.5" thickBot="1"/>
    <row r="24" spans="1:7">
      <c r="A24" s="5" t="s">
        <v>34</v>
      </c>
      <c r="B24" s="5" t="s">
        <v>35</v>
      </c>
      <c r="C24" s="5" t="s">
        <v>36</v>
      </c>
      <c r="D24" s="5" t="s">
        <v>37</v>
      </c>
      <c r="F24" s="5" t="s">
        <v>39</v>
      </c>
      <c r="G24" s="5" t="s">
        <v>4</v>
      </c>
    </row>
    <row r="25" spans="1:7">
      <c r="A25" s="3">
        <v>1</v>
      </c>
      <c r="B25" s="3">
        <v>172.51107100247793</v>
      </c>
      <c r="C25" s="3">
        <v>-15.511071002477934</v>
      </c>
      <c r="D25" s="3">
        <v>-1.0557271188075557</v>
      </c>
      <c r="F25" s="3">
        <v>1.6666666666666667</v>
      </c>
      <c r="G25" s="3">
        <v>112</v>
      </c>
    </row>
    <row r="26" spans="1:7">
      <c r="A26" s="3">
        <v>2</v>
      </c>
      <c r="B26" s="3">
        <v>142.48950411453396</v>
      </c>
      <c r="C26" s="3">
        <v>8.5104958854660424</v>
      </c>
      <c r="D26" s="3">
        <v>0.57924828655295835</v>
      </c>
      <c r="F26" s="3">
        <v>5</v>
      </c>
      <c r="G26" s="3">
        <v>115</v>
      </c>
    </row>
    <row r="27" spans="1:7">
      <c r="A27" s="3">
        <v>3</v>
      </c>
      <c r="B27" s="3">
        <v>162.90416959833584</v>
      </c>
      <c r="C27" s="3">
        <v>11.095830401664159</v>
      </c>
      <c r="D27" s="3">
        <v>0.7552134252273629</v>
      </c>
      <c r="F27" s="3">
        <v>8.3333333333333339</v>
      </c>
      <c r="G27" s="3">
        <v>118</v>
      </c>
    </row>
    <row r="28" spans="1:7">
      <c r="A28" s="3">
        <v>4</v>
      </c>
      <c r="B28" s="3">
        <v>155.69899354522929</v>
      </c>
      <c r="C28" s="3">
        <v>15.301006454770715</v>
      </c>
      <c r="D28" s="3">
        <v>1.0414295348638598</v>
      </c>
      <c r="F28" s="3">
        <v>11.666666666666666</v>
      </c>
      <c r="G28" s="3">
        <v>125</v>
      </c>
    </row>
    <row r="29" spans="1:7">
      <c r="A29" s="3">
        <v>5</v>
      </c>
      <c r="B29" s="3">
        <v>185.72056043317326</v>
      </c>
      <c r="C29" s="3">
        <v>12.279439566826738</v>
      </c>
      <c r="D29" s="3">
        <v>0.83577319402293371</v>
      </c>
      <c r="F29" s="3">
        <v>15</v>
      </c>
      <c r="G29" s="3">
        <v>127</v>
      </c>
    </row>
    <row r="30" spans="1:7">
      <c r="A30" s="3">
        <v>6</v>
      </c>
      <c r="B30" s="3">
        <v>164.10503227385362</v>
      </c>
      <c r="C30" s="3">
        <v>-19.105032273853624</v>
      </c>
      <c r="D30" s="3">
        <v>-1.3003422312990951</v>
      </c>
      <c r="F30" s="3">
        <v>18.333333333333336</v>
      </c>
      <c r="G30" s="3">
        <v>139</v>
      </c>
    </row>
    <row r="31" spans="1:7">
      <c r="A31" s="3">
        <v>7</v>
      </c>
      <c r="B31" s="3">
        <v>164.10503227385362</v>
      </c>
      <c r="C31" s="3">
        <v>1.8949677261463762</v>
      </c>
      <c r="D31" s="3">
        <v>0.12897683322049283</v>
      </c>
      <c r="F31" s="3">
        <v>21.666666666666668</v>
      </c>
      <c r="G31" s="3">
        <v>141</v>
      </c>
    </row>
    <row r="32" spans="1:7">
      <c r="A32" s="3">
        <v>8</v>
      </c>
      <c r="B32" s="3">
        <v>149.69468016764051</v>
      </c>
      <c r="C32" s="3">
        <v>-8.694680167640513</v>
      </c>
      <c r="D32" s="3">
        <v>-0.59178438683375967</v>
      </c>
      <c r="F32" s="3">
        <v>25</v>
      </c>
      <c r="G32" s="3">
        <v>145</v>
      </c>
    </row>
    <row r="33" spans="1:7">
      <c r="A33" s="3">
        <v>9</v>
      </c>
      <c r="B33" s="3">
        <v>147.29295481660498</v>
      </c>
      <c r="C33" s="3">
        <v>18.707045183395024</v>
      </c>
      <c r="D33" s="3">
        <v>1.2732541105455162</v>
      </c>
      <c r="F33" s="3">
        <v>28.333333333333336</v>
      </c>
      <c r="G33" s="3">
        <v>151</v>
      </c>
    </row>
    <row r="34" spans="1:7">
      <c r="A34" s="3">
        <v>10</v>
      </c>
      <c r="B34" s="3">
        <v>140.08777876349842</v>
      </c>
      <c r="C34" s="3">
        <v>19.91222123650158</v>
      </c>
      <c r="D34" s="3">
        <v>1.3552817823935006</v>
      </c>
      <c r="F34" s="3">
        <v>31.666666666666668</v>
      </c>
      <c r="G34" s="3">
        <v>151</v>
      </c>
    </row>
    <row r="35" spans="1:7">
      <c r="A35" s="3">
        <v>11</v>
      </c>
      <c r="B35" s="3">
        <v>180.91710973110224</v>
      </c>
      <c r="C35" s="3">
        <v>11.082890268897756</v>
      </c>
      <c r="D35" s="3">
        <v>0.75433268339591364</v>
      </c>
      <c r="F35" s="3">
        <v>35</v>
      </c>
      <c r="G35" s="3">
        <v>152</v>
      </c>
    </row>
    <row r="36" spans="1:7">
      <c r="A36" s="3">
        <v>12</v>
      </c>
      <c r="B36" s="3">
        <v>152.09640551867602</v>
      </c>
      <c r="C36" s="3">
        <v>13.903594481323978</v>
      </c>
      <c r="D36" s="3">
        <v>0.9463177455955093</v>
      </c>
      <c r="F36" s="3">
        <v>38.333333333333336</v>
      </c>
      <c r="G36" s="3">
        <v>154</v>
      </c>
    </row>
    <row r="37" spans="1:7">
      <c r="A37" s="3">
        <v>13</v>
      </c>
      <c r="B37" s="3">
        <v>170.1093456514424</v>
      </c>
      <c r="C37" s="3">
        <v>-0.10934565144239627</v>
      </c>
      <c r="D37" s="3">
        <v>-7.4423725823300367E-3</v>
      </c>
      <c r="F37" s="3">
        <v>41.666666666666664</v>
      </c>
      <c r="G37" s="3">
        <v>157</v>
      </c>
    </row>
    <row r="38" spans="1:7">
      <c r="A38" s="3">
        <v>14</v>
      </c>
      <c r="B38" s="3">
        <v>154.49813086971153</v>
      </c>
      <c r="C38" s="3">
        <v>7.501869130288469</v>
      </c>
      <c r="D38" s="3">
        <v>0.51059831273582335</v>
      </c>
      <c r="F38" s="3">
        <v>45</v>
      </c>
      <c r="G38" s="3">
        <v>157</v>
      </c>
    </row>
    <row r="39" spans="1:7">
      <c r="A39" s="3">
        <v>15</v>
      </c>
      <c r="B39" s="3">
        <v>190.52401113524428</v>
      </c>
      <c r="C39" s="3">
        <v>-5.5240111352442796</v>
      </c>
      <c r="D39" s="3">
        <v>-0.3759797346772924</v>
      </c>
      <c r="F39" s="3">
        <v>48.333333333333336</v>
      </c>
      <c r="G39" s="3">
        <v>159</v>
      </c>
    </row>
    <row r="40" spans="1:7">
      <c r="A40" s="3">
        <v>16</v>
      </c>
      <c r="B40" s="3">
        <v>180.91710973110224</v>
      </c>
      <c r="C40" s="3">
        <v>3.0828902688977564</v>
      </c>
      <c r="D40" s="3">
        <v>0.20983018262654676</v>
      </c>
      <c r="F40" s="3">
        <v>51.666666666666664</v>
      </c>
      <c r="G40" s="3">
        <v>160</v>
      </c>
    </row>
    <row r="41" spans="1:7">
      <c r="A41" s="3">
        <v>17</v>
      </c>
      <c r="B41" s="3">
        <v>152.09640551867602</v>
      </c>
      <c r="C41" s="3">
        <v>4.903594481323978</v>
      </c>
      <c r="D41" s="3">
        <v>0.33375243222997153</v>
      </c>
      <c r="F41" s="3">
        <v>55</v>
      </c>
      <c r="G41" s="3">
        <v>162</v>
      </c>
    </row>
    <row r="42" spans="1:7">
      <c r="A42" s="3">
        <v>18</v>
      </c>
      <c r="B42" s="3">
        <v>152.09640551867602</v>
      </c>
      <c r="C42" s="3">
        <v>23.903594481323978</v>
      </c>
      <c r="D42" s="3">
        <v>1.6269458715572178</v>
      </c>
      <c r="F42" s="3">
        <v>58.333333333333336</v>
      </c>
      <c r="G42" s="3">
        <v>166</v>
      </c>
    </row>
    <row r="43" spans="1:7">
      <c r="A43" s="3">
        <v>19</v>
      </c>
      <c r="B43" s="3">
        <v>142.48950411453396</v>
      </c>
      <c r="C43" s="3">
        <v>-3.4895041145339576</v>
      </c>
      <c r="D43" s="3">
        <v>-0.23750546460109187</v>
      </c>
      <c r="F43" s="3">
        <v>61.666666666666664</v>
      </c>
      <c r="G43" s="3">
        <v>166</v>
      </c>
    </row>
    <row r="44" spans="1:7">
      <c r="A44" s="3">
        <v>20</v>
      </c>
      <c r="B44" s="3">
        <v>152.09640551867602</v>
      </c>
      <c r="C44" s="3">
        <v>-1.096405518676022</v>
      </c>
      <c r="D44" s="3">
        <v>-7.4624443347053593E-2</v>
      </c>
      <c r="F44" s="3">
        <v>65</v>
      </c>
      <c r="G44" s="3">
        <v>166</v>
      </c>
    </row>
    <row r="45" spans="1:7">
      <c r="A45" s="3">
        <v>21</v>
      </c>
      <c r="B45" s="3">
        <v>136.48519073694516</v>
      </c>
      <c r="C45" s="3">
        <v>-21.485190736945157</v>
      </c>
      <c r="D45" s="3">
        <v>-1.4623425107216843</v>
      </c>
      <c r="F45" s="3">
        <v>68.333333333333343</v>
      </c>
      <c r="G45" s="3">
        <v>170</v>
      </c>
    </row>
    <row r="46" spans="1:7">
      <c r="A46" s="3">
        <v>22</v>
      </c>
      <c r="B46" s="3">
        <v>155.69899354522929</v>
      </c>
      <c r="C46" s="3">
        <v>3.3010064547707145</v>
      </c>
      <c r="D46" s="3">
        <v>0.22467578370980948</v>
      </c>
      <c r="F46" s="3">
        <v>71.666666666666671</v>
      </c>
      <c r="G46" s="3">
        <v>170</v>
      </c>
    </row>
    <row r="47" spans="1:7">
      <c r="A47" s="3">
        <v>23</v>
      </c>
      <c r="B47" s="3">
        <v>152.09640551867602</v>
      </c>
      <c r="C47" s="3">
        <v>17.903594481323978</v>
      </c>
      <c r="D47" s="3">
        <v>1.2185689959801926</v>
      </c>
      <c r="F47" s="3">
        <v>75</v>
      </c>
      <c r="G47" s="3">
        <v>170</v>
      </c>
    </row>
    <row r="48" spans="1:7">
      <c r="A48" s="3">
        <v>24</v>
      </c>
      <c r="B48" s="3">
        <v>152.09640551867602</v>
      </c>
      <c r="C48" s="3">
        <v>-25.096405518676022</v>
      </c>
      <c r="D48" s="3">
        <v>-1.7081319456551542</v>
      </c>
      <c r="F48" s="3">
        <v>78.333333333333343</v>
      </c>
      <c r="G48" s="3">
        <v>171</v>
      </c>
    </row>
    <row r="49" spans="1:7">
      <c r="A49" s="3">
        <v>25</v>
      </c>
      <c r="B49" s="3">
        <v>132.88260271039189</v>
      </c>
      <c r="C49" s="3">
        <v>-7.8826027103918932</v>
      </c>
      <c r="D49" s="3">
        <v>-0.53651211104747187</v>
      </c>
      <c r="F49" s="3">
        <v>81.666666666666671</v>
      </c>
      <c r="G49" s="3">
        <v>174</v>
      </c>
    </row>
    <row r="50" spans="1:7">
      <c r="A50" s="3">
        <v>26</v>
      </c>
      <c r="B50" s="3">
        <v>131.68174003487411</v>
      </c>
      <c r="C50" s="3">
        <v>-13.68174003487411</v>
      </c>
      <c r="D50" s="3">
        <v>-0.93121770798316472</v>
      </c>
      <c r="F50" s="3">
        <v>85</v>
      </c>
      <c r="G50" s="3">
        <v>176</v>
      </c>
    </row>
    <row r="51" spans="1:7">
      <c r="A51" s="3">
        <v>27</v>
      </c>
      <c r="B51" s="3">
        <v>155.69899354522929</v>
      </c>
      <c r="C51" s="3">
        <v>-1.6989935452292855</v>
      </c>
      <c r="D51" s="3">
        <v>-0.11563827927104479</v>
      </c>
      <c r="F51" s="3">
        <v>88.333333333333343</v>
      </c>
      <c r="G51" s="3">
        <v>184</v>
      </c>
    </row>
    <row r="52" spans="1:7">
      <c r="A52" s="3">
        <v>28</v>
      </c>
      <c r="B52" s="3">
        <v>143.69036679005171</v>
      </c>
      <c r="C52" s="3">
        <v>-31.690366790051712</v>
      </c>
      <c r="D52" s="3">
        <v>-2.1569354959352061</v>
      </c>
      <c r="F52" s="3">
        <v>91.666666666666671</v>
      </c>
      <c r="G52" s="3">
        <v>185</v>
      </c>
    </row>
    <row r="53" spans="1:7">
      <c r="A53" s="3">
        <v>29</v>
      </c>
      <c r="B53" s="3">
        <v>192.92573648627979</v>
      </c>
      <c r="C53" s="3">
        <v>-22.925736486279789</v>
      </c>
      <c r="D53" s="3">
        <v>-1.5603901060948577</v>
      </c>
      <c r="F53" s="3">
        <v>95</v>
      </c>
      <c r="G53" s="3">
        <v>192</v>
      </c>
    </row>
    <row r="54" spans="1:7" ht="13.5" thickBot="1">
      <c r="A54" s="4">
        <v>30</v>
      </c>
      <c r="B54" s="4">
        <v>147.29295481660498</v>
      </c>
      <c r="C54" s="4">
        <v>4.7070451833950244</v>
      </c>
      <c r="D54" s="4">
        <v>0.32037473419912421</v>
      </c>
      <c r="F54" s="4">
        <v>98.333333333333343</v>
      </c>
      <c r="G54" s="4">
        <v>198</v>
      </c>
    </row>
  </sheetData>
  <phoneticPr fontId="0" type="noConversion"/>
  <pageMargins left="0.75" right="0.75" top="1" bottom="1" header="0" footer="0"/>
  <headerFooter alignWithMargins="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Q83"/>
  <sheetViews>
    <sheetView workbookViewId="0">
      <selection sqref="A1:E1"/>
    </sheetView>
  </sheetViews>
  <sheetFormatPr defaultRowHeight="12.75"/>
  <cols>
    <col min="5" max="5" width="12.42578125" bestFit="1" customWidth="1"/>
    <col min="6" max="6" width="27.140625" bestFit="1" customWidth="1"/>
    <col min="7" max="7" width="12.42578125" bestFit="1" customWidth="1"/>
    <col min="9" max="9" width="21" bestFit="1" customWidth="1"/>
    <col min="11" max="11" width="36" bestFit="1" customWidth="1"/>
    <col min="15" max="15" width="36" bestFit="1" customWidth="1"/>
  </cols>
  <sheetData>
    <row r="1" spans="1:17">
      <c r="A1" s="102" t="s">
        <v>171</v>
      </c>
      <c r="B1" s="102"/>
      <c r="C1" s="102"/>
      <c r="D1" s="102"/>
      <c r="E1" s="102"/>
      <c r="H1" s="102" t="s">
        <v>67</v>
      </c>
      <c r="I1" s="102"/>
      <c r="K1" t="s">
        <v>53</v>
      </c>
      <c r="M1" s="32" t="s">
        <v>4</v>
      </c>
      <c r="O1" t="s">
        <v>53</v>
      </c>
      <c r="Q1" s="32" t="s">
        <v>3</v>
      </c>
    </row>
    <row r="2" spans="1:17" ht="13.5" thickBot="1">
      <c r="A2" s="102" t="s">
        <v>50</v>
      </c>
      <c r="B2" s="102"/>
      <c r="C2" s="102"/>
      <c r="D2" s="102"/>
      <c r="E2" s="102"/>
    </row>
    <row r="3" spans="1:17">
      <c r="A3" s="2" t="s">
        <v>6</v>
      </c>
      <c r="B3" s="2" t="s">
        <v>2</v>
      </c>
      <c r="C3" s="2" t="s">
        <v>1</v>
      </c>
      <c r="D3" s="2" t="s">
        <v>4</v>
      </c>
      <c r="E3" s="2" t="s">
        <v>3</v>
      </c>
      <c r="F3" s="2" t="s">
        <v>67</v>
      </c>
      <c r="H3" s="2" t="s">
        <v>51</v>
      </c>
      <c r="I3" s="2" t="s">
        <v>52</v>
      </c>
      <c r="J3" s="2" t="s">
        <v>67</v>
      </c>
      <c r="K3" s="5"/>
      <c r="L3" s="5" t="s">
        <v>51</v>
      </c>
      <c r="M3" s="5" t="s">
        <v>52</v>
      </c>
      <c r="O3" s="5"/>
      <c r="P3" s="5" t="s">
        <v>51</v>
      </c>
      <c r="Q3" s="5" t="s">
        <v>52</v>
      </c>
    </row>
    <row r="4" spans="1:17">
      <c r="A4">
        <v>2</v>
      </c>
      <c r="B4" s="2" t="s">
        <v>5</v>
      </c>
      <c r="C4">
        <v>14</v>
      </c>
      <c r="D4">
        <v>151</v>
      </c>
      <c r="E4">
        <v>41</v>
      </c>
      <c r="F4" s="15">
        <f t="shared" ref="F4:F33" si="0">E4/(D4/100)^2</f>
        <v>17.981667470724968</v>
      </c>
      <c r="H4" s="15">
        <v>17.981667470724968</v>
      </c>
      <c r="I4" s="15">
        <v>26.775934114974238</v>
      </c>
      <c r="J4" s="15">
        <v>20</v>
      </c>
      <c r="K4" s="3" t="s">
        <v>7</v>
      </c>
      <c r="L4" s="3">
        <v>148.76923076923077</v>
      </c>
      <c r="M4" s="3">
        <v>163.47058823529412</v>
      </c>
      <c r="O4" s="3" t="s">
        <v>7</v>
      </c>
      <c r="P4" s="3">
        <v>48.230769230769234</v>
      </c>
      <c r="Q4" s="3">
        <v>56.941176470588232</v>
      </c>
    </row>
    <row r="5" spans="1:17">
      <c r="A5">
        <v>6</v>
      </c>
      <c r="B5" s="2" t="s">
        <v>5</v>
      </c>
      <c r="C5">
        <v>12</v>
      </c>
      <c r="D5">
        <v>145</v>
      </c>
      <c r="E5">
        <v>59</v>
      </c>
      <c r="F5" s="15">
        <f t="shared" si="0"/>
        <v>28.061831153388823</v>
      </c>
      <c r="H5" s="15">
        <v>28.061831153388823</v>
      </c>
      <c r="I5" s="15">
        <v>19.157088122605362</v>
      </c>
      <c r="J5" s="15">
        <v>25</v>
      </c>
      <c r="K5" s="3" t="s">
        <v>54</v>
      </c>
      <c r="L5" s="3">
        <v>512.19230769230728</v>
      </c>
      <c r="M5" s="3">
        <v>398.63970588235316</v>
      </c>
      <c r="O5" s="3" t="s">
        <v>54</v>
      </c>
      <c r="P5" s="3">
        <v>165.85897435897428</v>
      </c>
      <c r="Q5" s="3">
        <v>181.18382352941171</v>
      </c>
    </row>
    <row r="6" spans="1:17">
      <c r="A6">
        <v>7</v>
      </c>
      <c r="B6" s="2" t="s">
        <v>5</v>
      </c>
      <c r="C6">
        <v>13</v>
      </c>
      <c r="D6">
        <v>166</v>
      </c>
      <c r="E6">
        <v>59</v>
      </c>
      <c r="F6" s="15">
        <f t="shared" si="0"/>
        <v>21.410944984758313</v>
      </c>
      <c r="H6" s="15">
        <v>21.410944984758313</v>
      </c>
      <c r="I6" s="15">
        <v>17.783249546869126</v>
      </c>
      <c r="J6" s="15">
        <v>30</v>
      </c>
      <c r="K6" s="3" t="s">
        <v>55</v>
      </c>
      <c r="L6" s="3">
        <v>13</v>
      </c>
      <c r="M6" s="3">
        <v>17</v>
      </c>
      <c r="O6" s="3" t="s">
        <v>55</v>
      </c>
      <c r="P6" s="3">
        <v>13</v>
      </c>
      <c r="Q6" s="3">
        <v>17</v>
      </c>
    </row>
    <row r="7" spans="1:17">
      <c r="A7">
        <v>10</v>
      </c>
      <c r="B7" s="2" t="s">
        <v>5</v>
      </c>
      <c r="C7">
        <v>13</v>
      </c>
      <c r="D7">
        <v>160</v>
      </c>
      <c r="E7">
        <v>39</v>
      </c>
      <c r="F7" s="15">
        <f t="shared" si="0"/>
        <v>15.234374999999996</v>
      </c>
      <c r="H7" s="15">
        <v>15.234375</v>
      </c>
      <c r="I7" s="15">
        <v>19.640852974186309</v>
      </c>
      <c r="J7" s="15">
        <v>35</v>
      </c>
      <c r="K7" s="3" t="s">
        <v>56</v>
      </c>
      <c r="L7" s="3">
        <v>0</v>
      </c>
      <c r="M7" s="3"/>
      <c r="O7" s="3" t="s">
        <v>56</v>
      </c>
      <c r="P7" s="3">
        <v>0</v>
      </c>
      <c r="Q7" s="3"/>
    </row>
    <row r="8" spans="1:17">
      <c r="A8">
        <v>12</v>
      </c>
      <c r="B8" s="2" t="s">
        <v>5</v>
      </c>
      <c r="C8">
        <v>14</v>
      </c>
      <c r="D8">
        <v>166</v>
      </c>
      <c r="E8">
        <v>49</v>
      </c>
      <c r="F8" s="15">
        <f t="shared" si="0"/>
        <v>17.781971258528088</v>
      </c>
      <c r="H8" s="15">
        <v>17.781971258528088</v>
      </c>
      <c r="I8" s="15">
        <v>23.640661938534283</v>
      </c>
      <c r="J8" s="15"/>
      <c r="K8" s="3" t="s">
        <v>23</v>
      </c>
      <c r="L8" s="3">
        <v>24</v>
      </c>
      <c r="M8" s="3"/>
      <c r="O8" s="3" t="s">
        <v>23</v>
      </c>
      <c r="P8" s="3">
        <v>27</v>
      </c>
      <c r="Q8" s="3"/>
    </row>
    <row r="9" spans="1:17">
      <c r="A9">
        <v>15</v>
      </c>
      <c r="B9" s="2" t="s">
        <v>5</v>
      </c>
      <c r="C9">
        <v>14</v>
      </c>
      <c r="D9">
        <v>185</v>
      </c>
      <c r="E9">
        <v>81</v>
      </c>
      <c r="F9" s="15">
        <f t="shared" si="0"/>
        <v>23.666910153396639</v>
      </c>
      <c r="H9" s="15">
        <v>23.666910153396639</v>
      </c>
      <c r="I9" s="15">
        <v>16.330381768036002</v>
      </c>
      <c r="J9" s="15"/>
      <c r="K9" s="3" t="s">
        <v>29</v>
      </c>
      <c r="L9" s="3">
        <v>-1.8544235469513897</v>
      </c>
      <c r="M9" s="3"/>
      <c r="O9" s="3" t="s">
        <v>29</v>
      </c>
      <c r="P9" s="3">
        <v>-1.8000300041909072</v>
      </c>
      <c r="Q9" s="3"/>
    </row>
    <row r="10" spans="1:17">
      <c r="A10">
        <v>18</v>
      </c>
      <c r="B10" s="2" t="s">
        <v>5</v>
      </c>
      <c r="C10">
        <v>14</v>
      </c>
      <c r="D10">
        <v>176</v>
      </c>
      <c r="E10">
        <v>49</v>
      </c>
      <c r="F10" s="15">
        <f t="shared" si="0"/>
        <v>15.818698347107439</v>
      </c>
      <c r="H10" s="15">
        <v>15.818698347107439</v>
      </c>
      <c r="I10" s="15">
        <v>19.802517361111111</v>
      </c>
      <c r="K10" s="3" t="s">
        <v>57</v>
      </c>
      <c r="L10" s="3">
        <v>3.800348186814681E-2</v>
      </c>
      <c r="M10" s="3"/>
      <c r="O10" s="3" t="s">
        <v>57</v>
      </c>
      <c r="P10" s="3">
        <v>4.1520030922666346E-2</v>
      </c>
      <c r="Q10" s="3"/>
    </row>
    <row r="11" spans="1:17">
      <c r="A11">
        <v>20</v>
      </c>
      <c r="B11" s="2" t="s">
        <v>5</v>
      </c>
      <c r="C11">
        <v>12</v>
      </c>
      <c r="D11">
        <v>151</v>
      </c>
      <c r="E11">
        <v>49</v>
      </c>
      <c r="F11" s="15">
        <f t="shared" si="0"/>
        <v>21.490285513793253</v>
      </c>
      <c r="H11" s="15">
        <v>21.490285513793253</v>
      </c>
      <c r="I11" s="15">
        <v>22.145328719723185</v>
      </c>
      <c r="K11" s="3" t="s">
        <v>58</v>
      </c>
      <c r="L11" s="3">
        <v>1.7108823158196174</v>
      </c>
      <c r="M11" s="3"/>
      <c r="O11" s="3" t="s">
        <v>58</v>
      </c>
      <c r="P11" s="3">
        <v>1.7032880350598134</v>
      </c>
      <c r="Q11" s="3"/>
    </row>
    <row r="12" spans="1:17">
      <c r="A12">
        <v>24</v>
      </c>
      <c r="B12" s="2" t="s">
        <v>5</v>
      </c>
      <c r="C12">
        <v>16</v>
      </c>
      <c r="D12">
        <v>127</v>
      </c>
      <c r="E12">
        <v>49</v>
      </c>
      <c r="F12" s="15">
        <f t="shared" si="0"/>
        <v>30.38006076012152</v>
      </c>
      <c r="H12" s="15">
        <v>30.38006076012152</v>
      </c>
      <c r="I12" s="15">
        <v>19.433013260173752</v>
      </c>
      <c r="K12" s="3" t="s">
        <v>59</v>
      </c>
      <c r="L12" s="3">
        <v>7.600696373629362E-2</v>
      </c>
      <c r="M12" s="3"/>
      <c r="O12" s="3" t="s">
        <v>59</v>
      </c>
      <c r="P12" s="3">
        <v>8.3040061845332691E-2</v>
      </c>
      <c r="Q12" s="3"/>
    </row>
    <row r="13" spans="1:17" ht="13.5" thickBot="1">
      <c r="A13">
        <v>25</v>
      </c>
      <c r="B13" s="2" t="s">
        <v>5</v>
      </c>
      <c r="C13">
        <v>14</v>
      </c>
      <c r="D13">
        <v>125</v>
      </c>
      <c r="E13">
        <v>33</v>
      </c>
      <c r="F13" s="15">
        <f t="shared" si="0"/>
        <v>21.12</v>
      </c>
      <c r="H13" s="15">
        <v>21.12</v>
      </c>
      <c r="I13" s="15">
        <v>21.561909262759922</v>
      </c>
      <c r="K13" s="4" t="s">
        <v>60</v>
      </c>
      <c r="L13" s="4">
        <v>2.0638981368392706</v>
      </c>
      <c r="M13" s="4"/>
      <c r="O13" s="4" t="s">
        <v>60</v>
      </c>
      <c r="P13" s="4">
        <v>2.0518291421467438</v>
      </c>
      <c r="Q13" s="4"/>
    </row>
    <row r="14" spans="1:17">
      <c r="A14">
        <v>26</v>
      </c>
      <c r="B14" s="2" t="s">
        <v>5</v>
      </c>
      <c r="C14">
        <v>12</v>
      </c>
      <c r="D14">
        <v>118</v>
      </c>
      <c r="E14">
        <v>32</v>
      </c>
      <c r="F14" s="15">
        <f t="shared" si="0"/>
        <v>22.98190175237001</v>
      </c>
      <c r="H14" s="15">
        <v>22.98190175237001</v>
      </c>
      <c r="I14" s="15">
        <v>19.879102600511175</v>
      </c>
    </row>
    <row r="15" spans="1:17">
      <c r="A15">
        <v>28</v>
      </c>
      <c r="B15" s="2" t="s">
        <v>5</v>
      </c>
      <c r="C15">
        <v>17</v>
      </c>
      <c r="D15">
        <v>112</v>
      </c>
      <c r="E15">
        <v>42</v>
      </c>
      <c r="F15" s="15">
        <f t="shared" si="0"/>
        <v>33.482142857142854</v>
      </c>
      <c r="H15" s="15">
        <v>33.482142857142854</v>
      </c>
      <c r="I15" s="15">
        <v>21.220433724962479</v>
      </c>
    </row>
    <row r="16" spans="1:17">
      <c r="A16">
        <v>30</v>
      </c>
      <c r="B16" s="2" t="s">
        <v>5</v>
      </c>
      <c r="C16">
        <v>15</v>
      </c>
      <c r="D16">
        <v>152</v>
      </c>
      <c r="E16">
        <v>45</v>
      </c>
      <c r="F16" s="15">
        <f t="shared" si="0"/>
        <v>19.477146814404431</v>
      </c>
      <c r="H16" s="15">
        <v>19.477146814404431</v>
      </c>
      <c r="I16" s="15">
        <v>27.221172022684314</v>
      </c>
      <c r="O16" t="s">
        <v>53</v>
      </c>
      <c r="Q16" s="32" t="s">
        <v>67</v>
      </c>
    </row>
    <row r="17" spans="1:17" ht="13.5" thickBot="1">
      <c r="A17">
        <v>1</v>
      </c>
      <c r="B17" s="2" t="s">
        <v>0</v>
      </c>
      <c r="C17">
        <v>12</v>
      </c>
      <c r="D17">
        <v>157</v>
      </c>
      <c r="E17">
        <v>66</v>
      </c>
      <c r="F17" s="15">
        <f t="shared" si="0"/>
        <v>26.775934114974238</v>
      </c>
      <c r="H17" s="15"/>
      <c r="I17" s="15">
        <v>20.568806613662431</v>
      </c>
    </row>
    <row r="18" spans="1:17">
      <c r="A18">
        <v>3</v>
      </c>
      <c r="B18" s="2" t="s">
        <v>0</v>
      </c>
      <c r="C18">
        <v>13</v>
      </c>
      <c r="D18">
        <v>174</v>
      </c>
      <c r="E18">
        <v>58</v>
      </c>
      <c r="F18" s="15">
        <f t="shared" si="0"/>
        <v>19.157088122605362</v>
      </c>
      <c r="H18" s="15"/>
      <c r="I18" s="15">
        <v>16.955017301038065</v>
      </c>
      <c r="O18" s="5"/>
      <c r="P18" s="5" t="s">
        <v>51</v>
      </c>
      <c r="Q18" s="5" t="s">
        <v>52</v>
      </c>
    </row>
    <row r="19" spans="1:17">
      <c r="A19">
        <v>4</v>
      </c>
      <c r="B19" s="2" t="s">
        <v>0</v>
      </c>
      <c r="C19">
        <v>13</v>
      </c>
      <c r="D19">
        <v>171</v>
      </c>
      <c r="E19">
        <v>52</v>
      </c>
      <c r="F19" s="15">
        <f t="shared" si="0"/>
        <v>17.783249546869126</v>
      </c>
      <c r="H19" s="15"/>
      <c r="I19" s="15">
        <v>21.926125822229718</v>
      </c>
      <c r="O19" s="3" t="s">
        <v>7</v>
      </c>
      <c r="P19" s="3">
        <v>22.222148928133567</v>
      </c>
      <c r="Q19" s="3">
        <v>21.338901078673672</v>
      </c>
    </row>
    <row r="20" spans="1:17">
      <c r="A20">
        <v>5</v>
      </c>
      <c r="B20" s="2" t="s">
        <v>0</v>
      </c>
      <c r="C20">
        <v>15</v>
      </c>
      <c r="D20">
        <v>198</v>
      </c>
      <c r="E20">
        <v>77</v>
      </c>
      <c r="F20" s="15">
        <f t="shared" si="0"/>
        <v>19.640852974186309</v>
      </c>
      <c r="H20" s="15"/>
      <c r="I20" s="15">
        <v>28.719723183391007</v>
      </c>
      <c r="O20" s="3" t="s">
        <v>54</v>
      </c>
      <c r="P20" s="3">
        <v>30.631575490460971</v>
      </c>
      <c r="Q20" s="3">
        <v>12.393936206305114</v>
      </c>
    </row>
    <row r="21" spans="1:17">
      <c r="A21">
        <v>8</v>
      </c>
      <c r="B21" s="2" t="s">
        <v>0</v>
      </c>
      <c r="C21">
        <v>13</v>
      </c>
      <c r="D21">
        <v>141</v>
      </c>
      <c r="E21">
        <v>47</v>
      </c>
      <c r="F21" s="15">
        <f t="shared" si="0"/>
        <v>23.640661938534283</v>
      </c>
      <c r="H21" s="111" t="s">
        <v>166</v>
      </c>
      <c r="I21" s="111"/>
      <c r="O21" s="3" t="s">
        <v>55</v>
      </c>
      <c r="P21" s="3">
        <v>13</v>
      </c>
      <c r="Q21" s="3">
        <v>17</v>
      </c>
    </row>
    <row r="22" spans="1:17">
      <c r="A22">
        <v>9</v>
      </c>
      <c r="B22" s="2" t="s">
        <v>0</v>
      </c>
      <c r="C22">
        <v>13</v>
      </c>
      <c r="D22">
        <v>166</v>
      </c>
      <c r="E22">
        <v>45</v>
      </c>
      <c r="F22" s="15">
        <f t="shared" si="0"/>
        <v>16.330381768036002</v>
      </c>
      <c r="H22" s="7">
        <f>AVERAGE(H4:H16)</f>
        <v>22.222148928133567</v>
      </c>
      <c r="I22" s="7">
        <f>AVERAGE(I4:I20)</f>
        <v>21.338901078673672</v>
      </c>
      <c r="K22" t="s">
        <v>61</v>
      </c>
      <c r="O22" s="3" t="s">
        <v>56</v>
      </c>
      <c r="P22" s="3">
        <v>0</v>
      </c>
      <c r="Q22" s="3"/>
    </row>
    <row r="23" spans="1:17">
      <c r="A23">
        <v>11</v>
      </c>
      <c r="B23" s="2" t="s">
        <v>0</v>
      </c>
      <c r="C23">
        <v>15</v>
      </c>
      <c r="D23">
        <v>192</v>
      </c>
      <c r="E23">
        <v>73</v>
      </c>
      <c r="F23" s="15">
        <f t="shared" si="0"/>
        <v>19.802517361111111</v>
      </c>
      <c r="H23" s="7">
        <f>STDEV(H4:H16)</f>
        <v>5.534579974167956</v>
      </c>
      <c r="I23" s="7">
        <f>STDEV(I4:I20)</f>
        <v>3.5205022661979801</v>
      </c>
      <c r="K23" t="s">
        <v>62</v>
      </c>
      <c r="O23" s="3" t="s">
        <v>23</v>
      </c>
      <c r="P23" s="3">
        <v>19</v>
      </c>
      <c r="Q23" s="3"/>
    </row>
    <row r="24" spans="1:17">
      <c r="A24">
        <v>13</v>
      </c>
      <c r="B24" s="2" t="s">
        <v>0</v>
      </c>
      <c r="C24">
        <v>16</v>
      </c>
      <c r="D24">
        <v>170</v>
      </c>
      <c r="E24">
        <v>64</v>
      </c>
      <c r="F24" s="15">
        <f t="shared" si="0"/>
        <v>22.145328719723185</v>
      </c>
      <c r="H24">
        <v>13</v>
      </c>
      <c r="I24">
        <v>17</v>
      </c>
      <c r="K24" t="s">
        <v>19</v>
      </c>
      <c r="O24" s="3" t="s">
        <v>29</v>
      </c>
      <c r="P24" s="3">
        <v>0.50284226044766367</v>
      </c>
      <c r="Q24" s="3"/>
    </row>
    <row r="25" spans="1:17">
      <c r="A25">
        <v>14</v>
      </c>
      <c r="B25" s="2" t="s">
        <v>0</v>
      </c>
      <c r="C25">
        <v>14</v>
      </c>
      <c r="D25">
        <v>162</v>
      </c>
      <c r="E25">
        <v>51</v>
      </c>
      <c r="F25" s="15">
        <f t="shared" si="0"/>
        <v>19.433013260173752</v>
      </c>
      <c r="H25">
        <v>12</v>
      </c>
      <c r="I25">
        <v>16</v>
      </c>
      <c r="K25" t="s">
        <v>63</v>
      </c>
      <c r="O25" s="3" t="s">
        <v>57</v>
      </c>
      <c r="P25" s="3">
        <v>0.31042701825546315</v>
      </c>
      <c r="Q25" s="3"/>
    </row>
    <row r="26" spans="1:17">
      <c r="A26">
        <v>16</v>
      </c>
      <c r="B26" s="2" t="s">
        <v>0</v>
      </c>
      <c r="C26">
        <v>17</v>
      </c>
      <c r="D26">
        <v>184</v>
      </c>
      <c r="E26">
        <v>73</v>
      </c>
      <c r="F26" s="15">
        <f t="shared" si="0"/>
        <v>21.561909262759922</v>
      </c>
      <c r="H26" s="8">
        <f>FTEST(H4:H16,I4:I20)</f>
        <v>9.306760803109429E-2</v>
      </c>
      <c r="I26" s="7">
        <f>(I22-H22)/SQRT(I23^2/I24+H23^2/H24)</f>
        <v>-0.50284226044766367</v>
      </c>
      <c r="K26" t="s">
        <v>64</v>
      </c>
      <c r="O26" s="3" t="s">
        <v>58</v>
      </c>
      <c r="P26" s="3">
        <v>1.7291313270106912</v>
      </c>
      <c r="Q26" s="3"/>
    </row>
    <row r="27" spans="1:17">
      <c r="A27">
        <v>17</v>
      </c>
      <c r="B27" s="2" t="s">
        <v>0</v>
      </c>
      <c r="C27">
        <v>14</v>
      </c>
      <c r="D27">
        <v>157</v>
      </c>
      <c r="E27">
        <v>49</v>
      </c>
      <c r="F27" s="15">
        <f t="shared" si="0"/>
        <v>19.879102600511175</v>
      </c>
      <c r="H27" s="97">
        <f>TTEST(H4:H16,I4:I20,2,3)</f>
        <v>0.62079545178557882</v>
      </c>
      <c r="I27" s="8">
        <f>TTEST(H4:H16,I4:I20,2,3)</f>
        <v>0.62079545178557882</v>
      </c>
      <c r="K27" t="s">
        <v>30</v>
      </c>
      <c r="O27" s="3" t="s">
        <v>59</v>
      </c>
      <c r="P27" s="3">
        <v>0.6208540365109263</v>
      </c>
      <c r="Q27" s="3"/>
    </row>
    <row r="28" spans="1:17" ht="13.5" thickBot="1">
      <c r="A28">
        <v>19</v>
      </c>
      <c r="B28" s="2" t="s">
        <v>0</v>
      </c>
      <c r="C28">
        <v>14</v>
      </c>
      <c r="D28">
        <v>139</v>
      </c>
      <c r="E28">
        <v>41</v>
      </c>
      <c r="F28" s="15">
        <f t="shared" si="0"/>
        <v>21.220433724962479</v>
      </c>
      <c r="H28" s="7">
        <f>H23^2/H24</f>
        <v>2.3562750377277668</v>
      </c>
      <c r="I28" s="7">
        <f>I23^2/I24</f>
        <v>0.72905507095912436</v>
      </c>
      <c r="K28" t="s">
        <v>66</v>
      </c>
      <c r="O28" s="4" t="s">
        <v>60</v>
      </c>
      <c r="P28" s="4">
        <v>2.0930247046635486</v>
      </c>
      <c r="Q28" s="4"/>
    </row>
    <row r="29" spans="1:17">
      <c r="A29">
        <v>21</v>
      </c>
      <c r="B29" s="2" t="s">
        <v>0</v>
      </c>
      <c r="C29">
        <v>12</v>
      </c>
      <c r="D29">
        <v>115</v>
      </c>
      <c r="E29">
        <v>36</v>
      </c>
      <c r="F29" s="15">
        <f t="shared" si="0"/>
        <v>27.221172022684314</v>
      </c>
      <c r="I29" s="7">
        <f>SQRT(H28+I28)</f>
        <v>1.7565107767067332</v>
      </c>
      <c r="K29" t="s">
        <v>169</v>
      </c>
    </row>
    <row r="30" spans="1:17">
      <c r="A30">
        <v>22</v>
      </c>
      <c r="B30" s="2" t="s">
        <v>0</v>
      </c>
      <c r="C30">
        <v>14</v>
      </c>
      <c r="D30">
        <v>159</v>
      </c>
      <c r="E30">
        <v>52</v>
      </c>
      <c r="F30" s="15">
        <f t="shared" si="0"/>
        <v>20.568806613662431</v>
      </c>
      <c r="I30" s="7">
        <f>(H28+I28)^2/(H28^2/H25+I28^2/I25)</f>
        <v>19.196339987059396</v>
      </c>
      <c r="K30" t="s">
        <v>65</v>
      </c>
    </row>
    <row r="31" spans="1:17">
      <c r="A31">
        <v>23</v>
      </c>
      <c r="B31" s="2" t="s">
        <v>0</v>
      </c>
      <c r="C31">
        <v>14</v>
      </c>
      <c r="D31">
        <v>170</v>
      </c>
      <c r="E31">
        <v>49</v>
      </c>
      <c r="F31" s="15">
        <f t="shared" si="0"/>
        <v>16.955017301038065</v>
      </c>
      <c r="I31" s="7">
        <f>H22-I22</f>
        <v>0.88324784945989521</v>
      </c>
      <c r="K31" t="s">
        <v>165</v>
      </c>
    </row>
    <row r="32" spans="1:17">
      <c r="A32">
        <v>27</v>
      </c>
      <c r="B32" s="2" t="s">
        <v>0</v>
      </c>
      <c r="C32">
        <v>15</v>
      </c>
      <c r="D32">
        <v>154</v>
      </c>
      <c r="E32">
        <v>52</v>
      </c>
      <c r="F32" s="15">
        <f t="shared" si="0"/>
        <v>21.926125822229718</v>
      </c>
      <c r="I32" s="7">
        <f>I31-TINV(0.05,19)*I29</f>
        <v>-2.7931714580147204</v>
      </c>
      <c r="K32" t="s">
        <v>167</v>
      </c>
    </row>
    <row r="33" spans="1:12">
      <c r="A33">
        <v>29</v>
      </c>
      <c r="B33" s="2" t="s">
        <v>0</v>
      </c>
      <c r="C33">
        <v>17</v>
      </c>
      <c r="D33">
        <v>170</v>
      </c>
      <c r="E33">
        <v>83</v>
      </c>
      <c r="F33" s="15">
        <f t="shared" si="0"/>
        <v>28.719723183391007</v>
      </c>
      <c r="I33" s="7">
        <f>I31+TINV(0.05,19)*I29</f>
        <v>4.5596671569345109</v>
      </c>
      <c r="K33" t="s">
        <v>168</v>
      </c>
    </row>
    <row r="34" spans="1:12">
      <c r="F34" s="1"/>
      <c r="I34" s="7">
        <f>TINV(0.05,19)*I29</f>
        <v>3.6764193074746156</v>
      </c>
      <c r="K34" t="s">
        <v>170</v>
      </c>
    </row>
    <row r="35" spans="1:12" ht="13.5" thickBot="1">
      <c r="E35" s="110" t="s">
        <v>163</v>
      </c>
      <c r="F35" s="110"/>
      <c r="G35" s="110"/>
      <c r="K35">
        <v>-1</v>
      </c>
    </row>
    <row r="36" spans="1:12">
      <c r="E36" s="2" t="s">
        <v>156</v>
      </c>
      <c r="F36" s="2" t="s">
        <v>157</v>
      </c>
      <c r="G36" s="2" t="s">
        <v>158</v>
      </c>
      <c r="I36" s="83" t="s">
        <v>158</v>
      </c>
      <c r="J36" s="83"/>
      <c r="K36">
        <v>0</v>
      </c>
    </row>
    <row r="37" spans="1:12">
      <c r="E37">
        <v>42</v>
      </c>
      <c r="F37" s="1">
        <v>42</v>
      </c>
      <c r="G37" s="1">
        <f>E37-F37</f>
        <v>0</v>
      </c>
      <c r="I37" s="3"/>
      <c r="J37" s="3"/>
      <c r="K37">
        <v>1</v>
      </c>
    </row>
    <row r="38" spans="1:12">
      <c r="E38">
        <v>58</v>
      </c>
      <c r="F38" s="1">
        <v>57</v>
      </c>
      <c r="G38" s="1">
        <f t="shared" ref="G38:G49" si="1">E38-F38</f>
        <v>1</v>
      </c>
      <c r="I38" s="3" t="s">
        <v>7</v>
      </c>
      <c r="J38" s="95">
        <v>0.92307692307692313</v>
      </c>
      <c r="K38">
        <v>2</v>
      </c>
    </row>
    <row r="39" spans="1:12">
      <c r="E39">
        <v>58</v>
      </c>
      <c r="F39" s="1">
        <v>56</v>
      </c>
      <c r="G39" s="1">
        <f t="shared" si="1"/>
        <v>2</v>
      </c>
      <c r="I39" s="3" t="s">
        <v>8</v>
      </c>
      <c r="J39" s="84">
        <v>0.32936493791449051</v>
      </c>
      <c r="K39">
        <v>3</v>
      </c>
    </row>
    <row r="40" spans="1:12" ht="13.5" thickBot="1">
      <c r="E40">
        <v>40</v>
      </c>
      <c r="F40" s="1">
        <v>41</v>
      </c>
      <c r="G40" s="1">
        <f t="shared" si="1"/>
        <v>-1</v>
      </c>
      <c r="I40" s="3" t="s">
        <v>9</v>
      </c>
      <c r="J40" s="3">
        <v>1</v>
      </c>
    </row>
    <row r="41" spans="1:12">
      <c r="E41">
        <v>49</v>
      </c>
      <c r="F41" s="1">
        <v>48</v>
      </c>
      <c r="G41" s="1">
        <f t="shared" si="1"/>
        <v>1</v>
      </c>
      <c r="I41" s="3" t="s">
        <v>10</v>
      </c>
      <c r="J41" s="3">
        <v>1</v>
      </c>
      <c r="K41" s="5" t="s">
        <v>164</v>
      </c>
      <c r="L41" s="5" t="s">
        <v>49</v>
      </c>
    </row>
    <row r="42" spans="1:12">
      <c r="E42">
        <v>80</v>
      </c>
      <c r="F42" s="1">
        <v>77</v>
      </c>
      <c r="G42" s="1">
        <f t="shared" si="1"/>
        <v>3</v>
      </c>
      <c r="I42" s="3" t="s">
        <v>11</v>
      </c>
      <c r="J42" s="84">
        <v>1.1875421719907089</v>
      </c>
      <c r="K42" s="9">
        <v>-1</v>
      </c>
      <c r="L42" s="3">
        <v>2</v>
      </c>
    </row>
    <row r="43" spans="1:12">
      <c r="E43">
        <v>50</v>
      </c>
      <c r="F43" s="1">
        <v>49</v>
      </c>
      <c r="G43" s="1">
        <f t="shared" si="1"/>
        <v>1</v>
      </c>
      <c r="I43" s="3" t="s">
        <v>12</v>
      </c>
      <c r="J43" s="84">
        <v>1.4102564102564104</v>
      </c>
      <c r="K43" s="9">
        <v>0</v>
      </c>
      <c r="L43" s="3">
        <v>2</v>
      </c>
    </row>
    <row r="44" spans="1:12">
      <c r="E44">
        <v>48</v>
      </c>
      <c r="F44" s="1">
        <v>49</v>
      </c>
      <c r="G44" s="1">
        <f t="shared" si="1"/>
        <v>-1</v>
      </c>
      <c r="I44" s="3" t="s">
        <v>13</v>
      </c>
      <c r="J44" s="84">
        <v>-0.36052291510142709</v>
      </c>
      <c r="K44" s="9">
        <v>1</v>
      </c>
      <c r="L44" s="3">
        <v>5</v>
      </c>
    </row>
    <row r="45" spans="1:12">
      <c r="E45">
        <v>49</v>
      </c>
      <c r="F45" s="1">
        <v>47</v>
      </c>
      <c r="G45" s="1">
        <f t="shared" si="1"/>
        <v>2</v>
      </c>
      <c r="I45" s="3" t="s">
        <v>14</v>
      </c>
      <c r="J45" s="84">
        <v>-0.18163774257991655</v>
      </c>
      <c r="K45" s="9">
        <v>2</v>
      </c>
      <c r="L45" s="3">
        <v>3</v>
      </c>
    </row>
    <row r="46" spans="1:12">
      <c r="E46">
        <v>34</v>
      </c>
      <c r="F46" s="1">
        <v>33</v>
      </c>
      <c r="G46" s="1">
        <f t="shared" si="1"/>
        <v>1</v>
      </c>
      <c r="I46" s="3" t="s">
        <v>15</v>
      </c>
      <c r="J46" s="3">
        <v>4</v>
      </c>
      <c r="K46" s="9">
        <v>3</v>
      </c>
      <c r="L46" s="3">
        <v>1</v>
      </c>
    </row>
    <row r="47" spans="1:12" ht="13.5" thickBot="1">
      <c r="E47">
        <v>33</v>
      </c>
      <c r="F47" s="1">
        <v>32</v>
      </c>
      <c r="G47" s="1">
        <f t="shared" si="1"/>
        <v>1</v>
      </c>
      <c r="I47" s="3" t="s">
        <v>16</v>
      </c>
      <c r="J47" s="3">
        <v>-1</v>
      </c>
      <c r="K47" s="4" t="s">
        <v>98</v>
      </c>
      <c r="L47" s="4">
        <v>0</v>
      </c>
    </row>
    <row r="48" spans="1:12">
      <c r="E48">
        <v>43</v>
      </c>
      <c r="F48" s="1">
        <v>43</v>
      </c>
      <c r="G48" s="1">
        <f t="shared" si="1"/>
        <v>0</v>
      </c>
      <c r="I48" s="3" t="s">
        <v>17</v>
      </c>
      <c r="J48" s="3">
        <v>3</v>
      </c>
    </row>
    <row r="49" spans="3:10">
      <c r="E49">
        <v>44</v>
      </c>
      <c r="F49" s="1">
        <v>42</v>
      </c>
      <c r="G49" s="1">
        <f t="shared" si="1"/>
        <v>2</v>
      </c>
      <c r="I49" s="3" t="s">
        <v>18</v>
      </c>
      <c r="J49" s="3">
        <v>12</v>
      </c>
    </row>
    <row r="50" spans="3:10">
      <c r="G50" s="1"/>
      <c r="I50" s="3" t="s">
        <v>19</v>
      </c>
      <c r="J50" s="3">
        <v>13</v>
      </c>
    </row>
    <row r="51" spans="3:10" ht="13.5" thickBot="1">
      <c r="G51" s="1"/>
      <c r="I51" s="4" t="s">
        <v>20</v>
      </c>
      <c r="J51" s="94">
        <v>0.7176245400988509</v>
      </c>
    </row>
    <row r="52" spans="3:10">
      <c r="C52" s="32" t="s">
        <v>7</v>
      </c>
      <c r="E52" s="26">
        <f>AVERAGE(E37:E51)</f>
        <v>48.307692307692307</v>
      </c>
      <c r="F52" s="26">
        <f>AVERAGE(F37:F51)</f>
        <v>47.384615384615387</v>
      </c>
      <c r="G52" s="26">
        <f>AVERAGE(G37:G49)</f>
        <v>0.92307692307692313</v>
      </c>
      <c r="I52" s="32" t="s">
        <v>161</v>
      </c>
      <c r="J52" s="63">
        <f>J38-J51</f>
        <v>0.20545238297807222</v>
      </c>
    </row>
    <row r="53" spans="3:10">
      <c r="C53" s="32" t="s">
        <v>11</v>
      </c>
      <c r="G53" s="26">
        <f>STDEV(G37:G49)</f>
        <v>1.1875421719907089</v>
      </c>
      <c r="I53" s="32" t="s">
        <v>162</v>
      </c>
      <c r="J53" s="63">
        <f>J38+J51</f>
        <v>1.6407014631757741</v>
      </c>
    </row>
    <row r="54" spans="3:10">
      <c r="C54" s="32" t="s">
        <v>159</v>
      </c>
      <c r="G54" s="63">
        <f>G52/G53*SQRT(13)</f>
        <v>2.8025961989814827</v>
      </c>
    </row>
    <row r="55" spans="3:10">
      <c r="G55" s="8"/>
    </row>
    <row r="56" spans="3:10">
      <c r="E56" s="63">
        <f>TTEST(E37:E49,F37:F49,2,1)</f>
        <v>1.5967182043343468E-2</v>
      </c>
      <c r="F56" s="96" t="s">
        <v>160</v>
      </c>
      <c r="G56" s="8"/>
      <c r="H56" s="39"/>
    </row>
    <row r="75" spans="1:4" ht="13.5" thickBot="1">
      <c r="A75" s="12"/>
      <c r="B75" s="12"/>
    </row>
    <row r="76" spans="1:4">
      <c r="A76" s="5" t="s">
        <v>67</v>
      </c>
      <c r="B76" s="5" t="s">
        <v>51</v>
      </c>
      <c r="C76" s="5" t="s">
        <v>52</v>
      </c>
      <c r="D76" s="5"/>
    </row>
    <row r="77" spans="1:4">
      <c r="A77" s="9">
        <v>20</v>
      </c>
      <c r="B77" s="3">
        <v>5</v>
      </c>
      <c r="C77" s="3">
        <v>8</v>
      </c>
      <c r="D77" s="3"/>
    </row>
    <row r="78" spans="1:4">
      <c r="A78" s="9">
        <v>25</v>
      </c>
      <c r="B78" s="3">
        <v>5</v>
      </c>
      <c r="C78" s="3">
        <v>6</v>
      </c>
      <c r="D78" s="3"/>
    </row>
    <row r="79" spans="1:4">
      <c r="A79" s="9">
        <v>30</v>
      </c>
      <c r="B79" s="3">
        <v>1</v>
      </c>
      <c r="C79" s="3">
        <v>3</v>
      </c>
      <c r="D79" s="3"/>
    </row>
    <row r="80" spans="1:4">
      <c r="A80" s="9">
        <v>35</v>
      </c>
      <c r="B80" s="3">
        <v>2</v>
      </c>
      <c r="C80" s="3">
        <v>0</v>
      </c>
      <c r="D80" s="3"/>
    </row>
    <row r="81" spans="1:4" ht="13.5" thickBot="1">
      <c r="A81" s="4"/>
      <c r="B81" s="4"/>
      <c r="C81" s="4"/>
      <c r="D81" s="4"/>
    </row>
    <row r="82" spans="1:4">
      <c r="A82" s="9"/>
      <c r="B82" s="3"/>
    </row>
    <row r="83" spans="1:4">
      <c r="A83" s="3"/>
      <c r="B83" s="3"/>
    </row>
  </sheetData>
  <mergeCells count="5">
    <mergeCell ref="A1:E1"/>
    <mergeCell ref="A2:E2"/>
    <mergeCell ref="H1:I1"/>
    <mergeCell ref="E35:G35"/>
    <mergeCell ref="H21:I21"/>
  </mergeCells>
  <phoneticPr fontId="0" type="noConversion"/>
  <pageMargins left="0.75" right="0.75" top="1" bottom="1" header="0" footer="0"/>
  <pageSetup paperSize="9" orientation="portrait" horizontalDpi="200" verticalDpi="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F29"/>
  <sheetViews>
    <sheetView tabSelected="1" workbookViewId="0">
      <selection activeCell="F7" sqref="F7"/>
    </sheetView>
  </sheetViews>
  <sheetFormatPr defaultRowHeight="12.75"/>
  <cols>
    <col min="1" max="1" width="17.5703125" bestFit="1" customWidth="1"/>
    <col min="2" max="2" width="15.42578125" bestFit="1" customWidth="1"/>
    <col min="3" max="3" width="11.5703125" customWidth="1"/>
  </cols>
  <sheetData>
    <row r="1" spans="1:6">
      <c r="A1" s="98" t="s">
        <v>71</v>
      </c>
      <c r="B1" s="22" t="s">
        <v>69</v>
      </c>
      <c r="C1" s="98" t="s">
        <v>70</v>
      </c>
      <c r="D1" s="99" t="s">
        <v>19</v>
      </c>
      <c r="E1" s="11"/>
    </row>
    <row r="2" spans="1:6">
      <c r="A2" s="22">
        <v>100</v>
      </c>
      <c r="B2" s="22">
        <v>110</v>
      </c>
      <c r="C2" s="100">
        <v>120</v>
      </c>
      <c r="D2" s="101">
        <v>3</v>
      </c>
      <c r="E2" s="10"/>
    </row>
    <row r="3" spans="1:6">
      <c r="A3" s="22">
        <v>120</v>
      </c>
      <c r="B3" s="22">
        <v>130</v>
      </c>
      <c r="C3" s="100">
        <v>140</v>
      </c>
      <c r="D3" s="101">
        <v>3</v>
      </c>
      <c r="E3" s="10"/>
    </row>
    <row r="4" spans="1:6">
      <c r="A4" s="22">
        <v>140</v>
      </c>
      <c r="B4" s="22">
        <v>150</v>
      </c>
      <c r="C4" s="100">
        <v>160</v>
      </c>
      <c r="D4" s="101">
        <v>10</v>
      </c>
      <c r="E4" s="10"/>
    </row>
    <row r="5" spans="1:6">
      <c r="A5" s="22">
        <v>160</v>
      </c>
      <c r="B5" s="22">
        <v>170</v>
      </c>
      <c r="C5" s="100">
        <v>180</v>
      </c>
      <c r="D5" s="101">
        <v>10</v>
      </c>
      <c r="E5" s="10"/>
    </row>
    <row r="6" spans="1:6">
      <c r="A6" s="22">
        <v>180</v>
      </c>
      <c r="B6" s="22">
        <v>190</v>
      </c>
      <c r="C6" s="100">
        <v>200</v>
      </c>
      <c r="D6" s="101">
        <v>4</v>
      </c>
      <c r="E6" s="10"/>
    </row>
    <row r="7" spans="1:6">
      <c r="B7" s="3"/>
      <c r="C7" s="3"/>
      <c r="D7" s="3"/>
      <c r="E7" s="10"/>
      <c r="F7" s="12"/>
    </row>
    <row r="8" spans="1:6">
      <c r="B8" s="12"/>
      <c r="C8" s="12"/>
      <c r="D8" s="12"/>
      <c r="E8" s="12"/>
      <c r="F8" s="12"/>
    </row>
    <row r="10" spans="1:6" ht="13.5" thickBot="1"/>
    <row r="11" spans="1:6" ht="13.5" thickBot="1">
      <c r="A11" s="18" t="s">
        <v>71</v>
      </c>
      <c r="B11" s="19" t="s">
        <v>70</v>
      </c>
      <c r="C11" s="20" t="s">
        <v>69</v>
      </c>
      <c r="D11" s="21" t="s">
        <v>49</v>
      </c>
    </row>
    <row r="12" spans="1:6">
      <c r="A12">
        <f t="shared" ref="A12:A17" si="0">B12-5</f>
        <v>35</v>
      </c>
      <c r="B12" s="9">
        <v>40</v>
      </c>
      <c r="C12" s="9">
        <f t="shared" ref="C12:C17" si="1">B12-5</f>
        <v>35</v>
      </c>
      <c r="D12" s="3">
        <v>4</v>
      </c>
    </row>
    <row r="13" spans="1:6">
      <c r="A13">
        <f t="shared" si="0"/>
        <v>45</v>
      </c>
      <c r="B13" s="9">
        <v>50</v>
      </c>
      <c r="C13" s="9">
        <f t="shared" si="1"/>
        <v>45</v>
      </c>
      <c r="D13" s="3">
        <v>12</v>
      </c>
    </row>
    <row r="14" spans="1:6">
      <c r="A14">
        <f t="shared" si="0"/>
        <v>55</v>
      </c>
      <c r="B14" s="9">
        <v>60</v>
      </c>
      <c r="C14" s="9">
        <f t="shared" si="1"/>
        <v>55</v>
      </c>
      <c r="D14" s="3">
        <v>7</v>
      </c>
    </row>
    <row r="15" spans="1:6">
      <c r="A15">
        <f t="shared" si="0"/>
        <v>65</v>
      </c>
      <c r="B15" s="9">
        <v>70</v>
      </c>
      <c r="C15" s="9">
        <f t="shared" si="1"/>
        <v>65</v>
      </c>
      <c r="D15" s="3">
        <v>2</v>
      </c>
    </row>
    <row r="16" spans="1:6">
      <c r="A16">
        <f t="shared" si="0"/>
        <v>75</v>
      </c>
      <c r="B16" s="9">
        <v>80</v>
      </c>
      <c r="C16" s="9">
        <f t="shared" si="1"/>
        <v>75</v>
      </c>
      <c r="D16" s="3">
        <v>3</v>
      </c>
    </row>
    <row r="17" spans="1:4" ht="13.5" thickBot="1">
      <c r="A17" s="16">
        <f t="shared" si="0"/>
        <v>85</v>
      </c>
      <c r="B17" s="17">
        <v>90</v>
      </c>
      <c r="C17" s="17">
        <f t="shared" si="1"/>
        <v>85</v>
      </c>
      <c r="D17" s="4">
        <v>2</v>
      </c>
    </row>
    <row r="18" spans="1:4">
      <c r="A18" s="12"/>
      <c r="B18" s="3"/>
      <c r="C18" s="3"/>
      <c r="D18" s="3"/>
    </row>
    <row r="19" spans="1:4">
      <c r="A19" s="12"/>
      <c r="B19" s="12"/>
      <c r="C19" s="12"/>
      <c r="D19" s="12"/>
    </row>
    <row r="21" spans="1:4" ht="13.5" thickBot="1"/>
    <row r="22" spans="1:4">
      <c r="A22" s="5" t="s">
        <v>97</v>
      </c>
      <c r="B22" s="5" t="s">
        <v>49</v>
      </c>
    </row>
    <row r="23" spans="1:4">
      <c r="A23" s="42">
        <v>12</v>
      </c>
      <c r="B23" s="3">
        <v>5</v>
      </c>
    </row>
    <row r="24" spans="1:4">
      <c r="A24" s="42">
        <v>13</v>
      </c>
      <c r="B24" s="3">
        <v>6</v>
      </c>
    </row>
    <row r="25" spans="1:4">
      <c r="A25" s="42">
        <v>14</v>
      </c>
      <c r="B25" s="3">
        <v>10</v>
      </c>
    </row>
    <row r="26" spans="1:4">
      <c r="A26" s="42">
        <v>15</v>
      </c>
      <c r="B26" s="3">
        <v>4</v>
      </c>
    </row>
    <row r="27" spans="1:4">
      <c r="A27" s="42">
        <v>16</v>
      </c>
      <c r="B27" s="3">
        <v>2</v>
      </c>
    </row>
    <row r="28" spans="1:4">
      <c r="A28" s="42">
        <v>17</v>
      </c>
      <c r="B28" s="3">
        <v>3</v>
      </c>
    </row>
    <row r="29" spans="1:4" ht="13.5" thickBot="1">
      <c r="A29" s="4" t="s">
        <v>98</v>
      </c>
      <c r="B29" s="4">
        <v>0</v>
      </c>
    </row>
  </sheetData>
  <phoneticPr fontId="0" type="noConversion"/>
  <pageMargins left="0.75" right="0.75" top="1" bottom="1" header="0" footer="0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M34"/>
  <sheetViews>
    <sheetView workbookViewId="0">
      <selection sqref="A1:E1"/>
    </sheetView>
  </sheetViews>
  <sheetFormatPr defaultRowHeight="12.75"/>
  <cols>
    <col min="8" max="8" width="11" bestFit="1" customWidth="1"/>
  </cols>
  <sheetData>
    <row r="1" spans="1:13">
      <c r="A1" s="102" t="s">
        <v>171</v>
      </c>
      <c r="B1" s="102"/>
      <c r="C1" s="102"/>
      <c r="D1" s="102"/>
      <c r="E1" s="102"/>
      <c r="H1" s="13"/>
    </row>
    <row r="2" spans="1:13">
      <c r="A2" s="102" t="s">
        <v>50</v>
      </c>
      <c r="B2" s="102"/>
      <c r="C2" s="102"/>
      <c r="D2" s="102"/>
      <c r="E2" s="102"/>
    </row>
    <row r="3" spans="1:13">
      <c r="A3" s="2" t="s">
        <v>6</v>
      </c>
      <c r="B3" s="2" t="s">
        <v>2</v>
      </c>
      <c r="C3" s="2" t="s">
        <v>1</v>
      </c>
      <c r="D3" s="2" t="s">
        <v>4</v>
      </c>
      <c r="E3" s="2" t="s">
        <v>3</v>
      </c>
      <c r="F3" s="2" t="s">
        <v>67</v>
      </c>
      <c r="H3" s="14" t="s">
        <v>68</v>
      </c>
      <c r="I3" t="s">
        <v>73</v>
      </c>
      <c r="J3" t="s">
        <v>74</v>
      </c>
      <c r="K3" t="s">
        <v>1</v>
      </c>
      <c r="L3" s="22" t="s">
        <v>19</v>
      </c>
      <c r="M3" s="22"/>
    </row>
    <row r="4" spans="1:13">
      <c r="A4">
        <v>2</v>
      </c>
      <c r="B4" s="2" t="s">
        <v>5</v>
      </c>
      <c r="C4">
        <v>14</v>
      </c>
      <c r="D4">
        <v>151</v>
      </c>
      <c r="E4">
        <v>41</v>
      </c>
      <c r="F4" s="1">
        <f t="shared" ref="F4:F33" si="0">E4/(D4/100)^2</f>
        <v>17.981667470724968</v>
      </c>
      <c r="H4" t="s">
        <v>51</v>
      </c>
      <c r="I4" s="15">
        <f>AVERAGE(D4:D16)</f>
        <v>148.76923076923077</v>
      </c>
      <c r="J4" s="15">
        <f>AVERAGE(E4:E16)</f>
        <v>48.230769230769234</v>
      </c>
      <c r="K4" s="15">
        <f>AVERAGE(C4:C16)</f>
        <v>13.846153846153847</v>
      </c>
      <c r="L4" s="22" t="s">
        <v>51</v>
      </c>
      <c r="M4" s="22">
        <v>13</v>
      </c>
    </row>
    <row r="5" spans="1:13">
      <c r="A5">
        <v>6</v>
      </c>
      <c r="B5" s="2" t="s">
        <v>5</v>
      </c>
      <c r="C5">
        <v>12</v>
      </c>
      <c r="D5">
        <v>145</v>
      </c>
      <c r="E5">
        <v>59</v>
      </c>
      <c r="F5" s="1">
        <f t="shared" si="0"/>
        <v>28.061831153388823</v>
      </c>
      <c r="H5" t="s">
        <v>52</v>
      </c>
      <c r="I5" s="15">
        <f>AVERAGE(D18:D33)</f>
        <v>163.875</v>
      </c>
      <c r="J5" s="15">
        <f>AVERAGE(E18:E33)</f>
        <v>56.375</v>
      </c>
      <c r="K5" s="15">
        <f>AVERAGE(C17:C33)</f>
        <v>14.176470588235293</v>
      </c>
      <c r="L5" s="22" t="s">
        <v>52</v>
      </c>
      <c r="M5" s="22">
        <v>17</v>
      </c>
    </row>
    <row r="6" spans="1:13">
      <c r="A6">
        <v>7</v>
      </c>
      <c r="B6" s="2" t="s">
        <v>5</v>
      </c>
      <c r="C6">
        <v>13</v>
      </c>
      <c r="D6">
        <v>166</v>
      </c>
      <c r="E6">
        <v>59</v>
      </c>
      <c r="F6" s="1">
        <f t="shared" si="0"/>
        <v>21.410944984758313</v>
      </c>
    </row>
    <row r="7" spans="1:13">
      <c r="A7">
        <v>10</v>
      </c>
      <c r="B7" s="2" t="s">
        <v>5</v>
      </c>
      <c r="C7">
        <v>13</v>
      </c>
      <c r="D7">
        <v>160</v>
      </c>
      <c r="E7">
        <v>39</v>
      </c>
      <c r="F7" s="1">
        <f t="shared" si="0"/>
        <v>15.234374999999996</v>
      </c>
    </row>
    <row r="8" spans="1:13">
      <c r="A8">
        <v>12</v>
      </c>
      <c r="B8" s="2" t="s">
        <v>5</v>
      </c>
      <c r="C8">
        <v>14</v>
      </c>
      <c r="D8">
        <v>166</v>
      </c>
      <c r="E8">
        <v>49</v>
      </c>
      <c r="F8" s="1">
        <f t="shared" si="0"/>
        <v>17.781971258528088</v>
      </c>
    </row>
    <row r="9" spans="1:13">
      <c r="A9">
        <v>15</v>
      </c>
      <c r="B9" s="2" t="s">
        <v>5</v>
      </c>
      <c r="C9">
        <v>14</v>
      </c>
      <c r="D9">
        <v>185</v>
      </c>
      <c r="E9">
        <v>81</v>
      </c>
      <c r="F9" s="1">
        <f t="shared" si="0"/>
        <v>23.666910153396639</v>
      </c>
    </row>
    <row r="10" spans="1:13">
      <c r="A10">
        <v>18</v>
      </c>
      <c r="B10" s="2" t="s">
        <v>5</v>
      </c>
      <c r="C10">
        <v>14</v>
      </c>
      <c r="D10">
        <v>176</v>
      </c>
      <c r="E10">
        <v>49</v>
      </c>
      <c r="F10" s="1">
        <f t="shared" si="0"/>
        <v>15.818698347107439</v>
      </c>
    </row>
    <row r="11" spans="1:13">
      <c r="A11">
        <v>20</v>
      </c>
      <c r="B11" s="2" t="s">
        <v>5</v>
      </c>
      <c r="C11">
        <v>12</v>
      </c>
      <c r="D11">
        <v>151</v>
      </c>
      <c r="E11">
        <v>49</v>
      </c>
      <c r="F11" s="1">
        <f t="shared" si="0"/>
        <v>21.490285513793253</v>
      </c>
    </row>
    <row r="12" spans="1:13">
      <c r="A12">
        <v>24</v>
      </c>
      <c r="B12" s="2" t="s">
        <v>5</v>
      </c>
      <c r="C12">
        <v>16</v>
      </c>
      <c r="D12">
        <v>127</v>
      </c>
      <c r="E12">
        <v>49</v>
      </c>
      <c r="F12" s="1">
        <f t="shared" si="0"/>
        <v>30.38006076012152</v>
      </c>
    </row>
    <row r="13" spans="1:13">
      <c r="A13">
        <v>25</v>
      </c>
      <c r="B13" s="2" t="s">
        <v>5</v>
      </c>
      <c r="C13">
        <v>14</v>
      </c>
      <c r="D13">
        <v>125</v>
      </c>
      <c r="E13">
        <v>33</v>
      </c>
      <c r="F13" s="1">
        <f t="shared" si="0"/>
        <v>21.12</v>
      </c>
    </row>
    <row r="14" spans="1:13">
      <c r="A14">
        <v>26</v>
      </c>
      <c r="B14" s="2" t="s">
        <v>5</v>
      </c>
      <c r="C14">
        <v>12</v>
      </c>
      <c r="D14">
        <v>118</v>
      </c>
      <c r="E14">
        <v>32</v>
      </c>
      <c r="F14" s="1">
        <f t="shared" si="0"/>
        <v>22.98190175237001</v>
      </c>
    </row>
    <row r="15" spans="1:13">
      <c r="A15">
        <v>28</v>
      </c>
      <c r="B15" s="2" t="s">
        <v>5</v>
      </c>
      <c r="C15">
        <v>17</v>
      </c>
      <c r="D15">
        <v>112</v>
      </c>
      <c r="E15">
        <v>42</v>
      </c>
      <c r="F15" s="1">
        <f t="shared" si="0"/>
        <v>33.482142857142854</v>
      </c>
    </row>
    <row r="16" spans="1:13">
      <c r="A16">
        <v>30</v>
      </c>
      <c r="B16" s="2" t="s">
        <v>5</v>
      </c>
      <c r="C16">
        <v>15</v>
      </c>
      <c r="D16">
        <v>152</v>
      </c>
      <c r="E16">
        <v>45</v>
      </c>
      <c r="F16" s="1">
        <f t="shared" si="0"/>
        <v>19.477146814404431</v>
      </c>
    </row>
    <row r="17" spans="1:8">
      <c r="A17">
        <v>1</v>
      </c>
      <c r="B17" s="2" t="s">
        <v>0</v>
      </c>
      <c r="C17">
        <v>12</v>
      </c>
      <c r="D17">
        <v>157</v>
      </c>
      <c r="E17">
        <v>66</v>
      </c>
      <c r="F17" s="1">
        <f t="shared" si="0"/>
        <v>26.775934114974238</v>
      </c>
    </row>
    <row r="18" spans="1:8">
      <c r="A18">
        <v>3</v>
      </c>
      <c r="B18" s="2" t="s">
        <v>0</v>
      </c>
      <c r="C18">
        <v>13</v>
      </c>
      <c r="D18">
        <v>174</v>
      </c>
      <c r="E18">
        <v>58</v>
      </c>
      <c r="F18" s="1">
        <f t="shared" si="0"/>
        <v>19.157088122605362</v>
      </c>
    </row>
    <row r="19" spans="1:8">
      <c r="A19">
        <v>4</v>
      </c>
      <c r="B19" s="2" t="s">
        <v>0</v>
      </c>
      <c r="C19">
        <v>13</v>
      </c>
      <c r="D19">
        <v>171</v>
      </c>
      <c r="E19">
        <v>52</v>
      </c>
      <c r="F19" s="1">
        <f t="shared" si="0"/>
        <v>17.783249546869126</v>
      </c>
    </row>
    <row r="20" spans="1:8">
      <c r="A20">
        <v>5</v>
      </c>
      <c r="B20" s="2" t="s">
        <v>0</v>
      </c>
      <c r="C20">
        <v>15</v>
      </c>
      <c r="D20">
        <v>198</v>
      </c>
      <c r="E20">
        <v>77</v>
      </c>
      <c r="F20" s="1">
        <f t="shared" si="0"/>
        <v>19.640852974186309</v>
      </c>
    </row>
    <row r="21" spans="1:8">
      <c r="A21">
        <v>8</v>
      </c>
      <c r="B21" s="2" t="s">
        <v>0</v>
      </c>
      <c r="C21">
        <v>13</v>
      </c>
      <c r="D21">
        <v>141</v>
      </c>
      <c r="E21">
        <v>47</v>
      </c>
      <c r="F21" s="1">
        <f t="shared" si="0"/>
        <v>23.640661938534283</v>
      </c>
    </row>
    <row r="22" spans="1:8">
      <c r="A22">
        <v>9</v>
      </c>
      <c r="B22" s="2" t="s">
        <v>0</v>
      </c>
      <c r="C22">
        <v>13</v>
      </c>
      <c r="D22">
        <v>166</v>
      </c>
      <c r="E22">
        <v>45</v>
      </c>
      <c r="F22" s="1">
        <f t="shared" si="0"/>
        <v>16.330381768036002</v>
      </c>
      <c r="H22" s="7"/>
    </row>
    <row r="23" spans="1:8">
      <c r="A23">
        <v>11</v>
      </c>
      <c r="B23" s="2" t="s">
        <v>0</v>
      </c>
      <c r="C23">
        <v>15</v>
      </c>
      <c r="D23">
        <v>192</v>
      </c>
      <c r="E23">
        <v>73</v>
      </c>
      <c r="F23" s="1">
        <f t="shared" si="0"/>
        <v>19.802517361111111</v>
      </c>
      <c r="H23" s="7"/>
    </row>
    <row r="24" spans="1:8">
      <c r="A24">
        <v>13</v>
      </c>
      <c r="B24" s="2" t="s">
        <v>0</v>
      </c>
      <c r="C24">
        <v>16</v>
      </c>
      <c r="D24">
        <v>170</v>
      </c>
      <c r="E24">
        <v>64</v>
      </c>
      <c r="F24" s="1">
        <f t="shared" si="0"/>
        <v>22.145328719723185</v>
      </c>
    </row>
    <row r="25" spans="1:8">
      <c r="A25">
        <v>14</v>
      </c>
      <c r="B25" s="2" t="s">
        <v>0</v>
      </c>
      <c r="C25">
        <v>14</v>
      </c>
      <c r="D25">
        <v>162</v>
      </c>
      <c r="E25">
        <v>51</v>
      </c>
      <c r="F25" s="1">
        <f t="shared" si="0"/>
        <v>19.433013260173752</v>
      </c>
    </row>
    <row r="26" spans="1:8">
      <c r="A26">
        <v>16</v>
      </c>
      <c r="B26" s="2" t="s">
        <v>0</v>
      </c>
      <c r="C26">
        <v>17</v>
      </c>
      <c r="D26">
        <v>184</v>
      </c>
      <c r="E26">
        <v>73</v>
      </c>
      <c r="F26" s="1">
        <f t="shared" si="0"/>
        <v>21.561909262759922</v>
      </c>
    </row>
    <row r="27" spans="1:8">
      <c r="A27">
        <v>17</v>
      </c>
      <c r="B27" s="2" t="s">
        <v>0</v>
      </c>
      <c r="C27">
        <v>14</v>
      </c>
      <c r="D27">
        <v>157</v>
      </c>
      <c r="E27">
        <v>49</v>
      </c>
      <c r="F27" s="1">
        <f t="shared" si="0"/>
        <v>19.879102600511175</v>
      </c>
    </row>
    <row r="28" spans="1:8">
      <c r="A28">
        <v>19</v>
      </c>
      <c r="B28" s="2" t="s">
        <v>0</v>
      </c>
      <c r="C28">
        <v>14</v>
      </c>
      <c r="D28">
        <v>139</v>
      </c>
      <c r="E28">
        <v>41</v>
      </c>
      <c r="F28" s="1">
        <f t="shared" si="0"/>
        <v>21.220433724962479</v>
      </c>
      <c r="H28" s="6"/>
    </row>
    <row r="29" spans="1:8">
      <c r="A29">
        <v>21</v>
      </c>
      <c r="B29" s="2" t="s">
        <v>0</v>
      </c>
      <c r="C29">
        <v>12</v>
      </c>
      <c r="D29">
        <v>115</v>
      </c>
      <c r="E29">
        <v>36</v>
      </c>
      <c r="F29" s="1">
        <f t="shared" si="0"/>
        <v>27.221172022684314</v>
      </c>
    </row>
    <row r="30" spans="1:8">
      <c r="A30">
        <v>22</v>
      </c>
      <c r="B30" s="2" t="s">
        <v>0</v>
      </c>
      <c r="C30">
        <v>14</v>
      </c>
      <c r="D30">
        <v>159</v>
      </c>
      <c r="E30">
        <v>52</v>
      </c>
      <c r="F30" s="1">
        <f t="shared" si="0"/>
        <v>20.568806613662431</v>
      </c>
    </row>
    <row r="31" spans="1:8">
      <c r="A31">
        <v>23</v>
      </c>
      <c r="B31" s="2" t="s">
        <v>0</v>
      </c>
      <c r="C31">
        <v>14</v>
      </c>
      <c r="D31">
        <v>170</v>
      </c>
      <c r="E31">
        <v>49</v>
      </c>
      <c r="F31" s="1">
        <f t="shared" si="0"/>
        <v>16.955017301038065</v>
      </c>
    </row>
    <row r="32" spans="1:8">
      <c r="A32">
        <v>27</v>
      </c>
      <c r="B32" s="2" t="s">
        <v>0</v>
      </c>
      <c r="C32">
        <v>15</v>
      </c>
      <c r="D32">
        <v>154</v>
      </c>
      <c r="E32">
        <v>52</v>
      </c>
      <c r="F32" s="1">
        <f t="shared" si="0"/>
        <v>21.926125822229718</v>
      </c>
    </row>
    <row r="33" spans="1:6">
      <c r="A33">
        <v>29</v>
      </c>
      <c r="B33" s="2" t="s">
        <v>0</v>
      </c>
      <c r="C33">
        <v>17</v>
      </c>
      <c r="D33">
        <v>170</v>
      </c>
      <c r="E33">
        <v>83</v>
      </c>
      <c r="F33" s="1">
        <f t="shared" si="0"/>
        <v>28.719723183391007</v>
      </c>
    </row>
    <row r="34" spans="1:6">
      <c r="F34" s="1"/>
    </row>
  </sheetData>
  <mergeCells count="2">
    <mergeCell ref="A1:E1"/>
    <mergeCell ref="A2:E2"/>
  </mergeCells>
  <phoneticPr fontId="0" type="noConversion"/>
  <pageMargins left="0.75" right="0.75" top="1" bottom="1" header="0" footer="0"/>
  <pageSetup paperSize="9" orientation="portrait" horizontalDpi="200" verticalDpi="200" copies="0" r:id="rId1"/>
  <headerFooter alignWithMargins="0"/>
  <drawing r:id="rId2"/>
  <legacyDrawing r:id="rId3"/>
  <oleObjects>
    <oleObject progId="Equation.3" shapeId="7169" r:id="rId4"/>
  </oleObjects>
</worksheet>
</file>

<file path=xl/worksheets/sheet4.xml><?xml version="1.0" encoding="utf-8"?>
<worksheet xmlns="http://schemas.openxmlformats.org/spreadsheetml/2006/main" xmlns:r="http://schemas.openxmlformats.org/officeDocument/2006/relationships">
  <dimension ref="A1:I36"/>
  <sheetViews>
    <sheetView workbookViewId="0"/>
  </sheetViews>
  <sheetFormatPr defaultRowHeight="12.75"/>
  <cols>
    <col min="1" max="1" width="15" bestFit="1" customWidth="1"/>
    <col min="3" max="3" width="33.5703125" bestFit="1" customWidth="1"/>
    <col min="4" max="4" width="29.7109375" bestFit="1" customWidth="1"/>
    <col min="5" max="5" width="5.5703125" bestFit="1" customWidth="1"/>
    <col min="6" max="6" width="21" bestFit="1" customWidth="1"/>
    <col min="7" max="7" width="6.5703125" bestFit="1" customWidth="1"/>
    <col min="8" max="8" width="21" bestFit="1" customWidth="1"/>
    <col min="9" max="9" width="6.5703125" bestFit="1" customWidth="1"/>
  </cols>
  <sheetData>
    <row r="1" spans="1:9">
      <c r="A1" s="2" t="s">
        <v>1</v>
      </c>
      <c r="B1" s="2" t="s">
        <v>4</v>
      </c>
      <c r="C1" s="2" t="s">
        <v>3</v>
      </c>
      <c r="D1" s="40" t="s">
        <v>1</v>
      </c>
      <c r="E1" s="40"/>
      <c r="F1" s="40" t="s">
        <v>4</v>
      </c>
      <c r="G1" s="40"/>
      <c r="H1" s="40" t="s">
        <v>3</v>
      </c>
      <c r="I1" s="40"/>
    </row>
    <row r="2" spans="1:9">
      <c r="A2">
        <v>12</v>
      </c>
      <c r="B2">
        <v>145</v>
      </c>
      <c r="C2">
        <v>32</v>
      </c>
      <c r="D2" s="3"/>
      <c r="E2" s="3"/>
      <c r="F2" s="3"/>
      <c r="G2" s="3"/>
      <c r="H2" s="3"/>
      <c r="I2" s="3"/>
    </row>
    <row r="3" spans="1:9">
      <c r="A3">
        <v>12</v>
      </c>
      <c r="B3">
        <v>151</v>
      </c>
      <c r="C3">
        <v>33</v>
      </c>
      <c r="D3" s="3" t="s">
        <v>7</v>
      </c>
      <c r="E3" s="33">
        <v>14.033333333333333</v>
      </c>
      <c r="F3" s="3" t="s">
        <v>7</v>
      </c>
      <c r="G3" s="33">
        <v>157.1</v>
      </c>
      <c r="H3" s="3" t="s">
        <v>7</v>
      </c>
      <c r="I3" s="33">
        <v>53.166666666666664</v>
      </c>
    </row>
    <row r="4" spans="1:9">
      <c r="A4">
        <v>12</v>
      </c>
      <c r="B4">
        <v>118</v>
      </c>
      <c r="C4">
        <v>36</v>
      </c>
      <c r="D4" s="3" t="s">
        <v>8</v>
      </c>
      <c r="E4" s="33">
        <v>0.27326604161863072</v>
      </c>
      <c r="F4" s="3" t="s">
        <v>8</v>
      </c>
      <c r="G4" s="33">
        <v>4.0281623544766587</v>
      </c>
      <c r="H4" s="3" t="s">
        <v>8</v>
      </c>
      <c r="I4" s="33">
        <v>2.5024509058917563</v>
      </c>
    </row>
    <row r="5" spans="1:9">
      <c r="A5">
        <v>12</v>
      </c>
      <c r="B5">
        <v>157</v>
      </c>
      <c r="C5">
        <v>39</v>
      </c>
      <c r="D5" s="3" t="s">
        <v>9</v>
      </c>
      <c r="E5" s="3">
        <v>14</v>
      </c>
      <c r="F5" s="3" t="s">
        <v>9</v>
      </c>
      <c r="G5" s="3">
        <v>159.5</v>
      </c>
      <c r="H5" s="3" t="s">
        <v>9</v>
      </c>
      <c r="I5" s="3">
        <v>49</v>
      </c>
    </row>
    <row r="6" spans="1:9">
      <c r="A6">
        <v>12</v>
      </c>
      <c r="B6">
        <v>115</v>
      </c>
      <c r="C6">
        <v>41</v>
      </c>
      <c r="D6" s="3" t="s">
        <v>10</v>
      </c>
      <c r="E6" s="3">
        <v>14</v>
      </c>
      <c r="F6" s="3" t="s">
        <v>10</v>
      </c>
      <c r="G6" s="3">
        <v>166</v>
      </c>
      <c r="H6" s="3" t="s">
        <v>10</v>
      </c>
      <c r="I6" s="3">
        <v>49</v>
      </c>
    </row>
    <row r="7" spans="1:9">
      <c r="A7">
        <v>13</v>
      </c>
      <c r="B7">
        <v>166</v>
      </c>
      <c r="C7">
        <v>41</v>
      </c>
      <c r="D7" s="3" t="s">
        <v>11</v>
      </c>
      <c r="E7" s="33">
        <v>1.4967397519466958</v>
      </c>
      <c r="F7" s="3" t="s">
        <v>11</v>
      </c>
      <c r="G7" s="33">
        <v>22.063153868399869</v>
      </c>
      <c r="H7" s="3" t="s">
        <v>11</v>
      </c>
      <c r="I7" s="33">
        <v>13.706488102061526</v>
      </c>
    </row>
    <row r="8" spans="1:9">
      <c r="A8">
        <v>13</v>
      </c>
      <c r="B8">
        <v>160</v>
      </c>
      <c r="C8">
        <v>42</v>
      </c>
      <c r="D8" s="3" t="s">
        <v>12</v>
      </c>
      <c r="E8" s="33">
        <v>2.2402298850574565</v>
      </c>
      <c r="F8" s="3" t="s">
        <v>12</v>
      </c>
      <c r="G8" s="33">
        <v>486.78275862068807</v>
      </c>
      <c r="H8" s="3" t="s">
        <v>12</v>
      </c>
      <c r="I8" s="33">
        <v>187.86781609195418</v>
      </c>
    </row>
    <row r="9" spans="1:9">
      <c r="A9">
        <v>13</v>
      </c>
      <c r="B9">
        <v>174</v>
      </c>
      <c r="C9">
        <v>45</v>
      </c>
      <c r="D9" s="3" t="s">
        <v>13</v>
      </c>
      <c r="E9" s="33">
        <v>-0.31051243790617811</v>
      </c>
      <c r="F9" s="3" t="s">
        <v>13</v>
      </c>
      <c r="G9" s="33">
        <v>-0.21195801119183733</v>
      </c>
      <c r="H9" s="3" t="s">
        <v>13</v>
      </c>
      <c r="I9" s="33">
        <v>-0.17278852698149594</v>
      </c>
    </row>
    <row r="10" spans="1:9">
      <c r="A10">
        <v>13</v>
      </c>
      <c r="B10">
        <v>171</v>
      </c>
      <c r="C10">
        <v>45</v>
      </c>
      <c r="D10" s="3" t="s">
        <v>14</v>
      </c>
      <c r="E10" s="33">
        <v>0.53442649748101223</v>
      </c>
      <c r="F10" s="3" t="s">
        <v>14</v>
      </c>
      <c r="G10" s="33">
        <v>-0.4261856644705006</v>
      </c>
      <c r="H10" s="3" t="s">
        <v>14</v>
      </c>
      <c r="I10" s="33">
        <v>0.70012855384920158</v>
      </c>
    </row>
    <row r="11" spans="1:9">
      <c r="A11">
        <v>13</v>
      </c>
      <c r="B11">
        <v>141</v>
      </c>
      <c r="C11">
        <v>47</v>
      </c>
      <c r="D11" s="3" t="s">
        <v>15</v>
      </c>
      <c r="E11" s="3">
        <v>5</v>
      </c>
      <c r="F11" s="3" t="s">
        <v>15</v>
      </c>
      <c r="G11" s="3">
        <v>86</v>
      </c>
      <c r="H11" s="3" t="s">
        <v>15</v>
      </c>
      <c r="I11" s="3">
        <v>51</v>
      </c>
    </row>
    <row r="12" spans="1:9">
      <c r="A12">
        <v>13</v>
      </c>
      <c r="B12">
        <v>166</v>
      </c>
      <c r="C12">
        <v>49</v>
      </c>
      <c r="D12" s="3" t="s">
        <v>16</v>
      </c>
      <c r="E12" s="3">
        <v>12</v>
      </c>
      <c r="F12" s="3" t="s">
        <v>16</v>
      </c>
      <c r="G12" s="3">
        <v>112</v>
      </c>
      <c r="H12" s="3" t="s">
        <v>16</v>
      </c>
      <c r="I12" s="3">
        <v>32</v>
      </c>
    </row>
    <row r="13" spans="1:9">
      <c r="A13">
        <v>14</v>
      </c>
      <c r="B13">
        <v>151</v>
      </c>
      <c r="C13">
        <v>49</v>
      </c>
      <c r="D13" s="3" t="s">
        <v>17</v>
      </c>
      <c r="E13" s="3">
        <v>17</v>
      </c>
      <c r="F13" s="3" t="s">
        <v>17</v>
      </c>
      <c r="G13" s="3">
        <v>198</v>
      </c>
      <c r="H13" s="3" t="s">
        <v>17</v>
      </c>
      <c r="I13" s="3">
        <v>83</v>
      </c>
    </row>
    <row r="14" spans="1:9">
      <c r="A14">
        <v>14</v>
      </c>
      <c r="B14">
        <v>166</v>
      </c>
      <c r="C14">
        <v>49</v>
      </c>
      <c r="D14" s="3" t="s">
        <v>18</v>
      </c>
      <c r="E14" s="3">
        <v>421</v>
      </c>
      <c r="F14" s="3" t="s">
        <v>18</v>
      </c>
      <c r="G14" s="3">
        <v>4713</v>
      </c>
      <c r="H14" s="3" t="s">
        <v>18</v>
      </c>
      <c r="I14" s="3">
        <v>1595</v>
      </c>
    </row>
    <row r="15" spans="1:9">
      <c r="A15">
        <v>14</v>
      </c>
      <c r="B15">
        <v>185</v>
      </c>
      <c r="C15">
        <v>49</v>
      </c>
      <c r="D15" s="3" t="s">
        <v>19</v>
      </c>
      <c r="E15" s="3">
        <v>30</v>
      </c>
      <c r="F15" s="3" t="s">
        <v>19</v>
      </c>
      <c r="G15" s="3">
        <v>30</v>
      </c>
      <c r="H15" s="3" t="s">
        <v>19</v>
      </c>
      <c r="I15" s="3">
        <v>30</v>
      </c>
    </row>
    <row r="16" spans="1:9" ht="13.5" thickBot="1">
      <c r="A16">
        <v>14</v>
      </c>
      <c r="B16">
        <v>176</v>
      </c>
      <c r="C16">
        <v>49</v>
      </c>
      <c r="D16" s="4" t="s">
        <v>20</v>
      </c>
      <c r="E16" s="34">
        <v>0.55889211345866341</v>
      </c>
      <c r="F16" s="4" t="s">
        <v>20</v>
      </c>
      <c r="G16" s="34">
        <v>8.2385215459372905</v>
      </c>
      <c r="H16" s="4" t="s">
        <v>20</v>
      </c>
      <c r="I16" s="34">
        <v>5.1180895633284456</v>
      </c>
    </row>
    <row r="17" spans="1:7">
      <c r="A17">
        <v>14</v>
      </c>
      <c r="B17">
        <v>125</v>
      </c>
      <c r="C17">
        <v>49</v>
      </c>
    </row>
    <row r="18" spans="1:7">
      <c r="A18">
        <v>14</v>
      </c>
      <c r="B18">
        <v>162</v>
      </c>
      <c r="C18">
        <v>51</v>
      </c>
      <c r="G18" s="7"/>
    </row>
    <row r="19" spans="1:7">
      <c r="A19">
        <v>14</v>
      </c>
      <c r="B19">
        <v>157</v>
      </c>
      <c r="C19">
        <v>52</v>
      </c>
      <c r="G19" s="7"/>
    </row>
    <row r="20" spans="1:7">
      <c r="A20">
        <v>14</v>
      </c>
      <c r="B20">
        <v>139</v>
      </c>
      <c r="C20">
        <v>52</v>
      </c>
    </row>
    <row r="21" spans="1:7">
      <c r="A21">
        <v>14</v>
      </c>
      <c r="B21">
        <v>159</v>
      </c>
      <c r="C21">
        <v>52</v>
      </c>
    </row>
    <row r="22" spans="1:7">
      <c r="A22">
        <v>14</v>
      </c>
      <c r="B22">
        <v>170</v>
      </c>
      <c r="C22">
        <v>58</v>
      </c>
    </row>
    <row r="23" spans="1:7">
      <c r="A23">
        <v>15</v>
      </c>
      <c r="B23">
        <v>152</v>
      </c>
      <c r="C23">
        <v>59</v>
      </c>
    </row>
    <row r="24" spans="1:7">
      <c r="A24">
        <v>15</v>
      </c>
      <c r="B24">
        <v>198</v>
      </c>
      <c r="C24">
        <v>59</v>
      </c>
    </row>
    <row r="25" spans="1:7">
      <c r="A25">
        <v>15</v>
      </c>
      <c r="B25">
        <v>192</v>
      </c>
      <c r="C25">
        <v>64</v>
      </c>
    </row>
    <row r="26" spans="1:7">
      <c r="A26">
        <v>15</v>
      </c>
      <c r="B26">
        <v>154</v>
      </c>
      <c r="C26">
        <v>66</v>
      </c>
    </row>
    <row r="27" spans="1:7">
      <c r="A27">
        <v>16</v>
      </c>
      <c r="B27">
        <v>127</v>
      </c>
      <c r="C27">
        <v>73</v>
      </c>
    </row>
    <row r="28" spans="1:7">
      <c r="A28">
        <v>16</v>
      </c>
      <c r="B28">
        <v>170</v>
      </c>
      <c r="C28">
        <v>73</v>
      </c>
    </row>
    <row r="29" spans="1:7">
      <c r="A29">
        <v>17</v>
      </c>
      <c r="B29">
        <v>112</v>
      </c>
      <c r="C29">
        <v>77</v>
      </c>
    </row>
    <row r="30" spans="1:7">
      <c r="A30">
        <v>17</v>
      </c>
      <c r="B30">
        <v>184</v>
      </c>
      <c r="C30">
        <v>81</v>
      </c>
    </row>
    <row r="31" spans="1:7">
      <c r="A31">
        <v>17</v>
      </c>
      <c r="B31">
        <v>170</v>
      </c>
      <c r="C31">
        <v>83</v>
      </c>
    </row>
    <row r="32" spans="1:7">
      <c r="B32" s="15"/>
      <c r="C32" s="15"/>
    </row>
    <row r="33" spans="1:3">
      <c r="B33" s="15"/>
    </row>
    <row r="34" spans="1:3">
      <c r="A34" t="s">
        <v>68</v>
      </c>
      <c r="B34" s="7">
        <f>AVERAGE(B2:B31)</f>
        <v>157.1</v>
      </c>
      <c r="C34" s="39" t="s">
        <v>100</v>
      </c>
    </row>
    <row r="35" spans="1:3">
      <c r="A35" t="s">
        <v>76</v>
      </c>
      <c r="B35" s="7">
        <f>STDEV(B2:B31)</f>
        <v>22.063153868399869</v>
      </c>
      <c r="C35" s="39" t="s">
        <v>101</v>
      </c>
    </row>
    <row r="36" spans="1:3">
      <c r="A36" t="s">
        <v>99</v>
      </c>
      <c r="B36" s="7">
        <f>CONFIDENCE(0.05,B35,30)</f>
        <v>7.8950531386543155</v>
      </c>
      <c r="C36" s="39" t="s">
        <v>102</v>
      </c>
    </row>
  </sheetData>
  <phoneticPr fontId="0" type="noConversion"/>
  <pageMargins left="0.75" right="0.75" top="1" bottom="1" header="0" footer="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R13"/>
  <sheetViews>
    <sheetView workbookViewId="0"/>
  </sheetViews>
  <sheetFormatPr defaultRowHeight="12.75"/>
  <cols>
    <col min="2" max="2" width="6.28515625" customWidth="1"/>
    <col min="3" max="3" width="15.5703125" customWidth="1"/>
    <col min="4" max="6" width="4.85546875" customWidth="1"/>
    <col min="7" max="7" width="18.140625" bestFit="1" customWidth="1"/>
    <col min="8" max="18" width="4.85546875" customWidth="1"/>
  </cols>
  <sheetData>
    <row r="1" spans="1:18">
      <c r="B1" s="22">
        <v>12</v>
      </c>
      <c r="C1" s="22">
        <v>12</v>
      </c>
      <c r="D1" s="22">
        <v>13</v>
      </c>
      <c r="E1" s="22">
        <v>13</v>
      </c>
      <c r="F1" s="22">
        <v>13</v>
      </c>
      <c r="G1" s="22">
        <v>13</v>
      </c>
      <c r="H1" s="22">
        <v>14</v>
      </c>
      <c r="I1" s="22">
        <v>14</v>
      </c>
      <c r="J1" s="22">
        <v>14</v>
      </c>
      <c r="K1" s="22">
        <v>14</v>
      </c>
      <c r="L1" s="22">
        <v>14</v>
      </c>
      <c r="M1" s="22">
        <v>15</v>
      </c>
      <c r="N1" s="22">
        <v>15</v>
      </c>
      <c r="O1" s="22">
        <v>15</v>
      </c>
      <c r="P1" s="22">
        <v>16</v>
      </c>
      <c r="Q1" s="22">
        <v>17</v>
      </c>
      <c r="R1" s="22">
        <v>17</v>
      </c>
    </row>
    <row r="3" spans="1:18">
      <c r="A3">
        <v>3</v>
      </c>
      <c r="B3" s="7">
        <f>AVERAGE(B1:R1)</f>
        <v>14.176470588235293</v>
      </c>
      <c r="C3" t="s">
        <v>68</v>
      </c>
      <c r="G3" s="36" t="s">
        <v>85</v>
      </c>
    </row>
    <row r="4" spans="1:18">
      <c r="A4">
        <v>4</v>
      </c>
      <c r="B4" s="8">
        <f>STDEV(B1:R1)</f>
        <v>1.5097720903188945</v>
      </c>
      <c r="C4" t="s">
        <v>11</v>
      </c>
      <c r="G4" s="37" t="s">
        <v>86</v>
      </c>
    </row>
    <row r="5" spans="1:18">
      <c r="A5">
        <v>5</v>
      </c>
      <c r="B5" s="35">
        <f>B4/B3</f>
        <v>0.10649844620506725</v>
      </c>
      <c r="C5" t="s">
        <v>83</v>
      </c>
      <c r="G5" s="38" t="s">
        <v>88</v>
      </c>
    </row>
    <row r="6" spans="1:18">
      <c r="A6">
        <v>6</v>
      </c>
      <c r="B6">
        <f>MEDIAN(B1:R1)</f>
        <v>14</v>
      </c>
      <c r="C6" t="s">
        <v>9</v>
      </c>
      <c r="G6" s="39" t="s">
        <v>87</v>
      </c>
    </row>
    <row r="7" spans="1:18">
      <c r="A7">
        <v>7</v>
      </c>
      <c r="B7">
        <f>MODE(B1:R1)</f>
        <v>14</v>
      </c>
      <c r="C7" t="s">
        <v>77</v>
      </c>
      <c r="G7" s="39" t="s">
        <v>89</v>
      </c>
    </row>
    <row r="8" spans="1:18">
      <c r="A8">
        <v>8</v>
      </c>
      <c r="B8">
        <f>QUARTILE(B1:R1,3)</f>
        <v>15</v>
      </c>
      <c r="C8" t="s">
        <v>78</v>
      </c>
      <c r="G8" s="39" t="s">
        <v>90</v>
      </c>
    </row>
    <row r="9" spans="1:18">
      <c r="A9">
        <v>9</v>
      </c>
      <c r="B9">
        <f>QUARTILE(B1:R1,1)</f>
        <v>13</v>
      </c>
      <c r="C9" t="s">
        <v>79</v>
      </c>
      <c r="G9" s="39" t="s">
        <v>91</v>
      </c>
    </row>
    <row r="10" spans="1:18">
      <c r="A10">
        <v>10</v>
      </c>
      <c r="B10">
        <f>B8-B9</f>
        <v>2</v>
      </c>
      <c r="C10" t="s">
        <v>84</v>
      </c>
      <c r="G10" s="39" t="s">
        <v>92</v>
      </c>
    </row>
    <row r="11" spans="1:18">
      <c r="A11">
        <v>11</v>
      </c>
      <c r="B11">
        <f>MAX(B1:R1)</f>
        <v>17</v>
      </c>
      <c r="C11" t="s">
        <v>80</v>
      </c>
      <c r="G11" s="39" t="s">
        <v>93</v>
      </c>
    </row>
    <row r="12" spans="1:18">
      <c r="A12">
        <v>12</v>
      </c>
      <c r="B12">
        <f>MIN(B1:R1)</f>
        <v>12</v>
      </c>
      <c r="C12" t="s">
        <v>81</v>
      </c>
      <c r="G12" s="39" t="s">
        <v>94</v>
      </c>
    </row>
    <row r="13" spans="1:18">
      <c r="A13">
        <v>13</v>
      </c>
      <c r="B13">
        <f>B11-B12</f>
        <v>5</v>
      </c>
      <c r="C13" t="s">
        <v>82</v>
      </c>
      <c r="G13" s="39" t="s">
        <v>95</v>
      </c>
    </row>
  </sheetData>
  <phoneticPr fontId="0" type="noConversion"/>
  <pageMargins left="0.75" right="0.75" top="1" bottom="1" header="0" footer="0"/>
  <pageSetup paperSize="9" orientation="portrait" horizontalDpi="200" verticalDpi="200" copies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C22"/>
  <sheetViews>
    <sheetView workbookViewId="0">
      <selection sqref="A1:C1"/>
    </sheetView>
  </sheetViews>
  <sheetFormatPr defaultRowHeight="12.75"/>
  <cols>
    <col min="3" max="3" width="25.5703125" bestFit="1" customWidth="1"/>
  </cols>
  <sheetData>
    <row r="1" spans="1:3">
      <c r="A1" s="102" t="s">
        <v>105</v>
      </c>
      <c r="B1" s="102"/>
      <c r="C1" s="102"/>
    </row>
    <row r="3" spans="1:3">
      <c r="A3" s="48" t="s">
        <v>96</v>
      </c>
      <c r="B3">
        <v>17</v>
      </c>
    </row>
    <row r="4" spans="1:3">
      <c r="A4" s="48" t="s">
        <v>107</v>
      </c>
      <c r="B4">
        <v>30</v>
      </c>
    </row>
    <row r="5" spans="1:3">
      <c r="A5" s="48" t="s">
        <v>106</v>
      </c>
      <c r="B5" s="8">
        <f>B3/B4</f>
        <v>0.56666666666666665</v>
      </c>
      <c r="C5" s="39" t="s">
        <v>109</v>
      </c>
    </row>
    <row r="6" spans="1:3">
      <c r="A6" s="48" t="s">
        <v>108</v>
      </c>
      <c r="B6" s="8">
        <f>1.96*SQRT(B5*(1-B5)/B4)</f>
        <v>0.17732514600982965</v>
      </c>
      <c r="C6" s="39" t="s">
        <v>110</v>
      </c>
    </row>
    <row r="8" spans="1:3">
      <c r="A8" s="48" t="s">
        <v>81</v>
      </c>
      <c r="B8" s="8">
        <f>B5-B6</f>
        <v>0.38934152065683703</v>
      </c>
      <c r="C8" s="39" t="s">
        <v>111</v>
      </c>
    </row>
    <row r="9" spans="1:3">
      <c r="A9" s="48" t="s">
        <v>80</v>
      </c>
      <c r="B9" s="8">
        <f>B5+B6</f>
        <v>0.74399181267649628</v>
      </c>
      <c r="C9" s="39" t="s">
        <v>112</v>
      </c>
    </row>
    <row r="12" spans="1:3">
      <c r="A12" s="102" t="s">
        <v>113</v>
      </c>
      <c r="B12" s="102"/>
      <c r="C12" s="102"/>
    </row>
    <row r="14" spans="1:3">
      <c r="A14" s="48" t="s">
        <v>96</v>
      </c>
      <c r="B14">
        <v>12</v>
      </c>
    </row>
    <row r="15" spans="1:3">
      <c r="A15" s="48" t="s">
        <v>107</v>
      </c>
      <c r="B15">
        <v>30</v>
      </c>
    </row>
    <row r="16" spans="1:3">
      <c r="A16" s="48" t="s">
        <v>106</v>
      </c>
      <c r="B16" s="7">
        <f>B14/B15</f>
        <v>0.4</v>
      </c>
      <c r="C16" s="39" t="s">
        <v>109</v>
      </c>
    </row>
    <row r="17" spans="1:3">
      <c r="A17" s="48" t="s">
        <v>108</v>
      </c>
      <c r="B17" s="7">
        <f>1.96*SQRT(B16*(1-B16)/B15)</f>
        <v>0.17530772943598352</v>
      </c>
      <c r="C17" s="39" t="s">
        <v>110</v>
      </c>
    </row>
    <row r="19" spans="1:3">
      <c r="A19" s="48" t="s">
        <v>81</v>
      </c>
      <c r="B19" s="7">
        <f>B16-B17</f>
        <v>0.2246922705640165</v>
      </c>
      <c r="C19" s="39" t="s">
        <v>111</v>
      </c>
    </row>
    <row r="20" spans="1:3">
      <c r="A20" s="48" t="s">
        <v>80</v>
      </c>
      <c r="B20" s="7">
        <f>B16+B17</f>
        <v>0.57530772943598352</v>
      </c>
      <c r="C20" s="39" t="s">
        <v>112</v>
      </c>
    </row>
    <row r="22" spans="1:3">
      <c r="A22" s="49"/>
    </row>
  </sheetData>
  <mergeCells count="2">
    <mergeCell ref="A1:C1"/>
    <mergeCell ref="A12:C12"/>
  </mergeCells>
  <phoneticPr fontId="0" type="noConversion"/>
  <pageMargins left="0.75" right="0.75" top="1" bottom="1" header="0" footer="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M21"/>
  <sheetViews>
    <sheetView workbookViewId="0">
      <selection sqref="A1:D1"/>
    </sheetView>
  </sheetViews>
  <sheetFormatPr defaultRowHeight="12.75"/>
  <cols>
    <col min="1" max="1" width="7.5703125" bestFit="1" customWidth="1"/>
    <col min="2" max="2" width="23.140625" bestFit="1" customWidth="1"/>
    <col min="3" max="3" width="10.140625" bestFit="1" customWidth="1"/>
    <col min="4" max="4" width="4.42578125" bestFit="1" customWidth="1"/>
    <col min="7" max="7" width="8.42578125" bestFit="1" customWidth="1"/>
    <col min="8" max="8" width="10.140625" bestFit="1" customWidth="1"/>
  </cols>
  <sheetData>
    <row r="1" spans="1:13">
      <c r="A1" s="105" t="s">
        <v>126</v>
      </c>
      <c r="B1" s="105"/>
      <c r="C1" s="105"/>
      <c r="D1" s="105"/>
      <c r="F1" s="103" t="s">
        <v>128</v>
      </c>
      <c r="G1" s="103"/>
      <c r="H1" s="103"/>
      <c r="I1" s="103"/>
    </row>
    <row r="2" spans="1:13">
      <c r="A2" s="55"/>
      <c r="B2" s="55" t="s">
        <v>121</v>
      </c>
      <c r="C2" s="55" t="s">
        <v>122</v>
      </c>
      <c r="D2" s="55" t="s">
        <v>75</v>
      </c>
      <c r="F2" s="55"/>
      <c r="G2" s="55" t="s">
        <v>121</v>
      </c>
      <c r="H2" s="55" t="s">
        <v>122</v>
      </c>
      <c r="I2" s="55" t="s">
        <v>75</v>
      </c>
    </row>
    <row r="3" spans="1:13">
      <c r="A3" s="27" t="s">
        <v>52</v>
      </c>
      <c r="B3" s="56">
        <v>10</v>
      </c>
      <c r="C3" s="56">
        <v>7</v>
      </c>
      <c r="D3" s="56">
        <v>17</v>
      </c>
      <c r="F3" s="27" t="s">
        <v>52</v>
      </c>
      <c r="G3" s="64">
        <f>B3/$D$3</f>
        <v>0.58823529411764708</v>
      </c>
      <c r="H3" s="64">
        <f>C3/$D$3</f>
        <v>0.41176470588235292</v>
      </c>
      <c r="I3" s="56">
        <v>17</v>
      </c>
    </row>
    <row r="4" spans="1:13">
      <c r="A4" s="27" t="s">
        <v>51</v>
      </c>
      <c r="B4" s="56">
        <v>2</v>
      </c>
      <c r="C4" s="56">
        <v>11</v>
      </c>
      <c r="D4" s="56">
        <v>13</v>
      </c>
      <c r="F4" s="27" t="s">
        <v>51</v>
      </c>
      <c r="G4" s="64">
        <f>B4/$D$4</f>
        <v>0.15384615384615385</v>
      </c>
      <c r="H4" s="64">
        <f>C4/$D$4</f>
        <v>0.84615384615384615</v>
      </c>
      <c r="I4" s="56">
        <v>13</v>
      </c>
    </row>
    <row r="5" spans="1:13">
      <c r="A5" s="27" t="s">
        <v>75</v>
      </c>
      <c r="B5" s="56">
        <f>SUM(B3:B4)</f>
        <v>12</v>
      </c>
      <c r="C5" s="56">
        <f>SUM(C3:C4)</f>
        <v>18</v>
      </c>
      <c r="D5" s="56">
        <f>SUM(D3:D4)</f>
        <v>30</v>
      </c>
      <c r="F5" s="27" t="s">
        <v>75</v>
      </c>
      <c r="G5" s="60">
        <f>B5/$D$5</f>
        <v>0.4</v>
      </c>
      <c r="H5" s="60">
        <f>C5/$D$5</f>
        <v>0.6</v>
      </c>
      <c r="I5" s="56">
        <f>SUM(I3:I4)</f>
        <v>30</v>
      </c>
    </row>
    <row r="6" spans="1:13">
      <c r="A6" s="57"/>
      <c r="B6" s="57"/>
      <c r="C6" s="57"/>
      <c r="D6" s="57"/>
    </row>
    <row r="7" spans="1:13">
      <c r="A7" s="105" t="s">
        <v>127</v>
      </c>
      <c r="B7" s="105"/>
      <c r="C7" s="105"/>
      <c r="D7" s="105"/>
      <c r="F7" s="104" t="s">
        <v>136</v>
      </c>
      <c r="G7" s="104"/>
      <c r="H7" s="104"/>
      <c r="I7" s="104"/>
    </row>
    <row r="8" spans="1:13">
      <c r="A8" s="55"/>
      <c r="B8" s="55" t="s">
        <v>121</v>
      </c>
      <c r="C8" s="55" t="s">
        <v>122</v>
      </c>
      <c r="D8" s="55" t="s">
        <v>75</v>
      </c>
      <c r="F8" s="55"/>
      <c r="G8" s="55" t="s">
        <v>121</v>
      </c>
      <c r="H8" s="55" t="s">
        <v>122</v>
      </c>
      <c r="I8" s="55"/>
    </row>
    <row r="9" spans="1:13">
      <c r="A9" s="27" t="s">
        <v>123</v>
      </c>
      <c r="B9" s="58">
        <f>$D3*B$5/$D$5</f>
        <v>6.8</v>
      </c>
      <c r="C9" s="58">
        <f>$D3*C$5/$D$5</f>
        <v>10.199999999999999</v>
      </c>
      <c r="D9" s="56">
        <v>17</v>
      </c>
      <c r="F9" s="27" t="s">
        <v>52</v>
      </c>
      <c r="G9" s="65">
        <f>B3-B9</f>
        <v>3.2</v>
      </c>
      <c r="H9" s="65">
        <f>C3-C9</f>
        <v>-3.1999999999999993</v>
      </c>
      <c r="I9" s="56"/>
      <c r="K9" s="8">
        <f>G9^2/B9</f>
        <v>1.5058823529411769</v>
      </c>
      <c r="L9" s="8">
        <f>H9^2/C9</f>
        <v>1.0039215686274505</v>
      </c>
    </row>
    <row r="10" spans="1:13">
      <c r="A10" s="27" t="s">
        <v>124</v>
      </c>
      <c r="B10" s="58">
        <f>$D4*B$5/$D$5</f>
        <v>5.2</v>
      </c>
      <c r="C10" s="58">
        <f>$D4*C$5/$D$5</f>
        <v>7.8</v>
      </c>
      <c r="D10" s="56">
        <v>13</v>
      </c>
      <c r="F10" s="27" t="s">
        <v>51</v>
      </c>
      <c r="G10" s="65">
        <f>B4-B10</f>
        <v>-3.2</v>
      </c>
      <c r="H10" s="65">
        <f>C4-C10</f>
        <v>3.2</v>
      </c>
      <c r="I10" s="56"/>
      <c r="K10" s="8">
        <f>G10^2/B10</f>
        <v>1.9692307692307696</v>
      </c>
      <c r="L10" s="8">
        <f>H10^2/C10</f>
        <v>1.312820512820513</v>
      </c>
    </row>
    <row r="11" spans="1:13">
      <c r="A11" s="27" t="s">
        <v>75</v>
      </c>
      <c r="B11" s="56">
        <v>12</v>
      </c>
      <c r="C11" s="56">
        <v>18</v>
      </c>
      <c r="D11" s="56">
        <f>SUM(D9:D10)</f>
        <v>30</v>
      </c>
      <c r="F11" s="27"/>
      <c r="G11" s="56"/>
      <c r="H11" s="56"/>
      <c r="I11" s="56"/>
      <c r="M11" s="7">
        <f>SUM(K9:L10)</f>
        <v>5.7918552036199102</v>
      </c>
    </row>
    <row r="12" spans="1:13">
      <c r="B12" s="61"/>
    </row>
    <row r="13" spans="1:13">
      <c r="A13" s="66">
        <f>CHITEST(B3:C4,B9:C10)</f>
        <v>1.6100589390027269E-2</v>
      </c>
      <c r="B13" s="67" t="s">
        <v>125</v>
      </c>
      <c r="E13" s="59" t="s">
        <v>134</v>
      </c>
    </row>
    <row r="14" spans="1:13">
      <c r="A14" s="68">
        <f>CHIINV(A13,1)</f>
        <v>5.7918552036199129</v>
      </c>
      <c r="B14" s="67" t="s">
        <v>129</v>
      </c>
      <c r="E14" s="32" t="s">
        <v>135</v>
      </c>
    </row>
    <row r="15" spans="1:13">
      <c r="A15" s="32"/>
      <c r="B15" s="39"/>
    </row>
    <row r="16" spans="1:13">
      <c r="B16" s="103" t="s">
        <v>133</v>
      </c>
      <c r="C16" s="103"/>
      <c r="D16" s="103"/>
      <c r="F16" s="103" t="s">
        <v>131</v>
      </c>
      <c r="G16" s="103"/>
      <c r="H16" s="103"/>
      <c r="J16" s="103" t="s">
        <v>132</v>
      </c>
      <c r="K16" s="103"/>
      <c r="L16" s="103"/>
    </row>
    <row r="17" spans="2:12">
      <c r="B17" s="56">
        <v>10</v>
      </c>
      <c r="C17" s="56">
        <v>7</v>
      </c>
      <c r="D17" s="56">
        <v>17</v>
      </c>
      <c r="F17" s="62">
        <f t="shared" ref="F17:H19" si="0">LN(B17)</f>
        <v>2.3025850929940459</v>
      </c>
      <c r="G17" s="62">
        <f t="shared" si="0"/>
        <v>1.9459101490553132</v>
      </c>
      <c r="H17" s="62">
        <f t="shared" si="0"/>
        <v>2.8332133440562162</v>
      </c>
      <c r="J17" s="47">
        <f>B17*F17</f>
        <v>23.025850929940461</v>
      </c>
      <c r="K17" s="47">
        <f>C17*G17</f>
        <v>13.621371043387192</v>
      </c>
      <c r="L17" s="47">
        <f>-D17*H17</f>
        <v>-48.164626848955677</v>
      </c>
    </row>
    <row r="18" spans="2:12">
      <c r="B18" s="56">
        <v>2</v>
      </c>
      <c r="C18" s="56">
        <v>11</v>
      </c>
      <c r="D18" s="56">
        <v>13</v>
      </c>
      <c r="F18" s="62">
        <f t="shared" si="0"/>
        <v>0.69314718055994529</v>
      </c>
      <c r="G18" s="62">
        <f t="shared" si="0"/>
        <v>2.3978952727983707</v>
      </c>
      <c r="H18" s="62">
        <f t="shared" si="0"/>
        <v>2.5649493574615367</v>
      </c>
      <c r="J18" s="47">
        <f>B18*F18</f>
        <v>1.3862943611198906</v>
      </c>
      <c r="K18" s="47">
        <f>C18*G18</f>
        <v>26.376848000782076</v>
      </c>
      <c r="L18" s="47">
        <f>-D18*H18</f>
        <v>-33.344341646999979</v>
      </c>
    </row>
    <row r="19" spans="2:12">
      <c r="B19" s="56">
        <f>SUM(B17:B18)</f>
        <v>12</v>
      </c>
      <c r="C19" s="56">
        <f>SUM(C17:C18)</f>
        <v>18</v>
      </c>
      <c r="D19" s="56">
        <f>SUM(D17:D18)</f>
        <v>30</v>
      </c>
      <c r="F19" s="62">
        <f t="shared" si="0"/>
        <v>2.4849066497880004</v>
      </c>
      <c r="G19" s="62">
        <f t="shared" si="0"/>
        <v>2.8903717578961645</v>
      </c>
      <c r="H19" s="62">
        <f t="shared" si="0"/>
        <v>3.4011973816621555</v>
      </c>
      <c r="J19" s="47">
        <f>-B19*F19</f>
        <v>-29.818879797456006</v>
      </c>
      <c r="K19" s="47">
        <f>-C19*G19</f>
        <v>-52.026691642130963</v>
      </c>
      <c r="L19" s="47">
        <f>D19*H19</f>
        <v>102.03592144986466</v>
      </c>
    </row>
    <row r="21" spans="2:12">
      <c r="B21" s="32" t="s">
        <v>130</v>
      </c>
      <c r="J21" s="63">
        <f>2*SUM(J17:L19)</f>
        <v>6.183491699103314</v>
      </c>
    </row>
  </sheetData>
  <mergeCells count="7">
    <mergeCell ref="J16:L16"/>
    <mergeCell ref="F7:I7"/>
    <mergeCell ref="A1:D1"/>
    <mergeCell ref="F1:I1"/>
    <mergeCell ref="B16:D16"/>
    <mergeCell ref="F16:H16"/>
    <mergeCell ref="A7:D7"/>
  </mergeCells>
  <phoneticPr fontId="0" type="noConversion"/>
  <pageMargins left="0.75" right="0.75" top="1" bottom="1" header="0" footer="0"/>
  <pageSetup paperSize="9" orientation="portrait" horizontalDpi="200" verticalDpi="200" copies="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B1:H18"/>
  <sheetViews>
    <sheetView workbookViewId="0"/>
  </sheetViews>
  <sheetFormatPr defaultRowHeight="12.75"/>
  <cols>
    <col min="2" max="2" width="11.28515625" customWidth="1"/>
  </cols>
  <sheetData>
    <row r="1" spans="2:8">
      <c r="G1" s="12"/>
    </row>
    <row r="2" spans="2:8">
      <c r="B2" s="109" t="s">
        <v>172</v>
      </c>
      <c r="C2" s="109"/>
      <c r="D2" s="109"/>
      <c r="E2" s="109"/>
      <c r="F2" s="109"/>
      <c r="H2" t="s">
        <v>119</v>
      </c>
    </row>
    <row r="3" spans="2:8" ht="15">
      <c r="B3" s="54"/>
      <c r="C3" s="106" t="s">
        <v>114</v>
      </c>
      <c r="D3" s="107"/>
      <c r="E3" s="107"/>
      <c r="F3" s="108"/>
    </row>
    <row r="4" spans="2:8" ht="15">
      <c r="B4" s="22"/>
      <c r="C4" s="51" t="s">
        <v>116</v>
      </c>
      <c r="D4" s="51" t="s">
        <v>61</v>
      </c>
      <c r="E4" s="51" t="s">
        <v>117</v>
      </c>
      <c r="F4" s="51" t="s">
        <v>75</v>
      </c>
    </row>
    <row r="5" spans="2:8" ht="15">
      <c r="B5" s="50" t="s">
        <v>118</v>
      </c>
      <c r="C5" s="52">
        <v>6</v>
      </c>
      <c r="D5" s="52">
        <v>6</v>
      </c>
      <c r="E5" s="52">
        <v>3</v>
      </c>
      <c r="F5" s="52">
        <v>15</v>
      </c>
    </row>
    <row r="6" spans="2:8" ht="15">
      <c r="B6" s="50" t="s">
        <v>115</v>
      </c>
      <c r="C6" s="52">
        <v>3</v>
      </c>
      <c r="D6" s="52">
        <v>6</v>
      </c>
      <c r="E6" s="52">
        <v>6</v>
      </c>
      <c r="F6" s="52">
        <v>15</v>
      </c>
    </row>
    <row r="7" spans="2:8">
      <c r="B7" s="27" t="s">
        <v>75</v>
      </c>
      <c r="C7" s="27">
        <f>SUM(C5:C6)</f>
        <v>9</v>
      </c>
      <c r="D7" s="27">
        <f>SUM(D5:D6)</f>
        <v>12</v>
      </c>
      <c r="E7" s="27">
        <f>SUM(E5:E6)</f>
        <v>9</v>
      </c>
      <c r="F7" s="27">
        <f>SUM(C7:E7)</f>
        <v>30</v>
      </c>
    </row>
    <row r="8" spans="2:8">
      <c r="B8" s="31"/>
      <c r="C8" s="30"/>
      <c r="D8" s="30"/>
      <c r="E8" s="30"/>
      <c r="F8" s="30"/>
    </row>
    <row r="9" spans="2:8">
      <c r="B9" s="31" t="s">
        <v>120</v>
      </c>
      <c r="C9" s="30"/>
      <c r="D9" s="30"/>
      <c r="E9" s="30"/>
      <c r="F9" s="30"/>
    </row>
    <row r="10" spans="2:8" ht="15">
      <c r="B10" s="53"/>
      <c r="C10" s="106" t="s">
        <v>114</v>
      </c>
      <c r="D10" s="107"/>
      <c r="E10" s="107"/>
      <c r="F10" s="108"/>
    </row>
    <row r="11" spans="2:8" ht="15">
      <c r="B11" s="54"/>
      <c r="C11" s="51" t="s">
        <v>116</v>
      </c>
      <c r="D11" s="51" t="s">
        <v>61</v>
      </c>
      <c r="E11" s="51" t="s">
        <v>117</v>
      </c>
      <c r="F11" s="51" t="s">
        <v>75</v>
      </c>
    </row>
    <row r="12" spans="2:8" ht="15">
      <c r="B12" s="50" t="s">
        <v>118</v>
      </c>
      <c r="C12" s="28">
        <f t="shared" ref="C12:E13" si="0">$F5*C$7/$F$7</f>
        <v>4.5</v>
      </c>
      <c r="D12" s="28">
        <f>$F5*D$7/$F$7</f>
        <v>6</v>
      </c>
      <c r="E12" s="28">
        <f t="shared" si="0"/>
        <v>4.5</v>
      </c>
      <c r="F12" s="29">
        <f>SUM(C12:E12)</f>
        <v>15</v>
      </c>
    </row>
    <row r="13" spans="2:8" ht="15">
      <c r="B13" s="50" t="s">
        <v>115</v>
      </c>
      <c r="C13" s="28">
        <f t="shared" si="0"/>
        <v>4.5</v>
      </c>
      <c r="D13" s="28">
        <f t="shared" si="0"/>
        <v>6</v>
      </c>
      <c r="E13" s="28">
        <f t="shared" si="0"/>
        <v>4.5</v>
      </c>
      <c r="F13" s="29">
        <f>SUM(C13:E13)</f>
        <v>15</v>
      </c>
    </row>
    <row r="14" spans="2:8">
      <c r="B14" s="27" t="s">
        <v>75</v>
      </c>
      <c r="C14" s="29">
        <f>SUM(C12:C13)</f>
        <v>9</v>
      </c>
      <c r="D14" s="29">
        <f>SUM(D12:D13)</f>
        <v>12</v>
      </c>
      <c r="E14" s="29">
        <f>SUM(E12:E13)</f>
        <v>9</v>
      </c>
      <c r="F14" s="29">
        <f>SUM(F12:F13)</f>
        <v>30</v>
      </c>
    </row>
    <row r="16" spans="2:8">
      <c r="B16" s="26">
        <f>CHITEST(C5:E6,C12:E13)</f>
        <v>0.36787944117144233</v>
      </c>
      <c r="C16" t="s">
        <v>30</v>
      </c>
    </row>
    <row r="17" spans="2:3">
      <c r="B17" s="26">
        <f>CHIINV(B16,2)</f>
        <v>2</v>
      </c>
      <c r="C17" t="s">
        <v>137</v>
      </c>
    </row>
    <row r="18" spans="2:3">
      <c r="B18" s="32"/>
    </row>
  </sheetData>
  <mergeCells count="3">
    <mergeCell ref="C10:F10"/>
    <mergeCell ref="C3:F3"/>
    <mergeCell ref="B2:F2"/>
  </mergeCells>
  <phoneticPr fontId="0" type="noConversion"/>
  <pageMargins left="0.75" right="0.75" top="1" bottom="1" header="0" footer="0"/>
  <pageSetup paperSize="9" orientation="portrait" horizontalDpi="200" verticalDpi="200" copies="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G39"/>
  <sheetViews>
    <sheetView workbookViewId="0"/>
  </sheetViews>
  <sheetFormatPr defaultRowHeight="12.75"/>
  <cols>
    <col min="1" max="1" width="17.7109375" bestFit="1" customWidth="1"/>
    <col min="2" max="4" width="12" bestFit="1" customWidth="1"/>
    <col min="5" max="5" width="11" bestFit="1" customWidth="1"/>
    <col min="6" max="6" width="39" bestFit="1" customWidth="1"/>
    <col min="7" max="7" width="10.5703125" bestFit="1" customWidth="1"/>
  </cols>
  <sheetData>
    <row r="1" spans="1:6" ht="15" thickBot="1">
      <c r="A1" s="78" t="s">
        <v>4</v>
      </c>
      <c r="B1" s="79" t="s">
        <v>3</v>
      </c>
      <c r="C1" s="79" t="s">
        <v>138</v>
      </c>
      <c r="D1" s="80" t="s">
        <v>46</v>
      </c>
      <c r="E1" s="81" t="s">
        <v>143</v>
      </c>
      <c r="F1" s="82" t="s">
        <v>144</v>
      </c>
    </row>
    <row r="2" spans="1:6" ht="15">
      <c r="A2" s="74">
        <v>157</v>
      </c>
      <c r="B2" s="74">
        <v>66</v>
      </c>
      <c r="C2" s="75">
        <f>FORECAST(A2,$B$2:$B$18,$A$2:$A$18)</f>
        <v>53.606105321405522</v>
      </c>
      <c r="D2" s="75">
        <f>B2-C2</f>
        <v>12.393894678594478</v>
      </c>
      <c r="E2" s="76">
        <f>INTERCEPT(B2:B18,A2:A18)</f>
        <v>-27.314848289218858</v>
      </c>
      <c r="F2" s="77" t="s">
        <v>139</v>
      </c>
    </row>
    <row r="3" spans="1:6" ht="15">
      <c r="A3" s="69">
        <v>115</v>
      </c>
      <c r="B3" s="69">
        <v>36</v>
      </c>
      <c r="C3" s="70">
        <f t="shared" ref="C3:C18" si="0">FORECAST(A3,$B$2:$B$18,$A$2:$A$18)</f>
        <v>31.958461680346765</v>
      </c>
      <c r="D3" s="70">
        <f t="shared" ref="D3:D18" si="1">B3-C3</f>
        <v>4.0415383196532346</v>
      </c>
      <c r="E3" s="71">
        <f>SLOPE(B2:B18,A2:A18)</f>
        <v>0.515420086691875</v>
      </c>
      <c r="F3" s="72" t="s">
        <v>140</v>
      </c>
    </row>
    <row r="4" spans="1:6" ht="15">
      <c r="A4" s="69">
        <v>174</v>
      </c>
      <c r="B4" s="69">
        <v>58</v>
      </c>
      <c r="C4" s="70">
        <f t="shared" si="0"/>
        <v>62.368246795167394</v>
      </c>
      <c r="D4" s="70">
        <f t="shared" si="1"/>
        <v>-4.3682467951673942</v>
      </c>
      <c r="E4" s="71">
        <f>CORREL(A2:A18,B2:B18)</f>
        <v>0.76452537833356682</v>
      </c>
      <c r="F4" s="72" t="s">
        <v>141</v>
      </c>
    </row>
    <row r="5" spans="1:6" ht="15">
      <c r="A5" s="69">
        <v>171</v>
      </c>
      <c r="B5" s="69">
        <v>52</v>
      </c>
      <c r="C5" s="70">
        <f t="shared" si="0"/>
        <v>60.821986535091767</v>
      </c>
      <c r="D5" s="70">
        <f t="shared" si="1"/>
        <v>-8.8219865350917672</v>
      </c>
      <c r="E5" s="71">
        <f>RSQ(B2:B18,A2:A18)</f>
        <v>0.58449905411608361</v>
      </c>
      <c r="F5" s="72" t="s">
        <v>142</v>
      </c>
    </row>
    <row r="6" spans="1:6" ht="15">
      <c r="A6" s="69">
        <v>141</v>
      </c>
      <c r="B6" s="69">
        <v>47</v>
      </c>
      <c r="C6" s="70">
        <f t="shared" si="0"/>
        <v>45.359383934335511</v>
      </c>
      <c r="D6" s="70">
        <f t="shared" si="1"/>
        <v>1.6406160656644886</v>
      </c>
      <c r="E6" s="76">
        <f>STDEV(D2:D18)</f>
        <v>8.6765229242672568</v>
      </c>
      <c r="F6" s="39" t="s">
        <v>153</v>
      </c>
    </row>
    <row r="7" spans="1:6" ht="15">
      <c r="A7" s="69">
        <v>166</v>
      </c>
      <c r="B7" s="69">
        <v>45</v>
      </c>
      <c r="C7" s="70">
        <f t="shared" si="0"/>
        <v>58.244886101632389</v>
      </c>
      <c r="D7" s="70">
        <f t="shared" si="1"/>
        <v>-13.244886101632389</v>
      </c>
      <c r="E7" s="73"/>
      <c r="F7" s="73"/>
    </row>
    <row r="8" spans="1:6" ht="15">
      <c r="A8" s="69">
        <v>162</v>
      </c>
      <c r="B8" s="69">
        <v>51</v>
      </c>
      <c r="C8" s="70">
        <f t="shared" si="0"/>
        <v>56.183205754864886</v>
      </c>
      <c r="D8" s="70">
        <f t="shared" si="1"/>
        <v>-5.1832057548648862</v>
      </c>
      <c r="E8" s="70">
        <f>E4*SQRT(15/(1-E5))</f>
        <v>4.5935825723199812</v>
      </c>
      <c r="F8" s="72" t="s">
        <v>155</v>
      </c>
    </row>
    <row r="9" spans="1:6" ht="15">
      <c r="A9" s="69">
        <v>157</v>
      </c>
      <c r="B9" s="69">
        <v>49</v>
      </c>
      <c r="C9" s="70">
        <f t="shared" si="0"/>
        <v>53.606105321405522</v>
      </c>
      <c r="D9" s="70">
        <f t="shared" si="1"/>
        <v>-4.6061053214055221</v>
      </c>
      <c r="E9" s="93">
        <f>TDIST(E8,15,2)</f>
        <v>3.5142655038028806E-4</v>
      </c>
      <c r="F9" s="72" t="s">
        <v>154</v>
      </c>
    </row>
    <row r="10" spans="1:6" ht="15">
      <c r="A10" s="69">
        <v>139</v>
      </c>
      <c r="B10" s="69">
        <v>41</v>
      </c>
      <c r="C10" s="70">
        <f t="shared" si="0"/>
        <v>44.32854376095176</v>
      </c>
      <c r="D10" s="70">
        <f t="shared" si="1"/>
        <v>-3.3285437609517601</v>
      </c>
      <c r="E10" s="73"/>
      <c r="F10" s="73"/>
    </row>
    <row r="11" spans="1:6" ht="15">
      <c r="A11" s="69">
        <v>159</v>
      </c>
      <c r="B11" s="69">
        <v>52</v>
      </c>
      <c r="C11" s="70">
        <f t="shared" si="0"/>
        <v>54.636945494789273</v>
      </c>
      <c r="D11" s="70">
        <f t="shared" si="1"/>
        <v>-2.6369454947892734</v>
      </c>
      <c r="E11" s="73"/>
      <c r="F11" s="73"/>
    </row>
    <row r="12" spans="1:6" ht="15">
      <c r="A12" s="69">
        <v>170</v>
      </c>
      <c r="B12" s="69">
        <v>49</v>
      </c>
      <c r="C12" s="70">
        <f t="shared" si="0"/>
        <v>60.306566448399892</v>
      </c>
      <c r="D12" s="70">
        <f t="shared" si="1"/>
        <v>-11.306566448399892</v>
      </c>
      <c r="E12" s="73"/>
      <c r="F12" s="73"/>
    </row>
    <row r="13" spans="1:6" ht="15">
      <c r="A13" s="69">
        <v>198</v>
      </c>
      <c r="B13" s="69">
        <v>77</v>
      </c>
      <c r="C13" s="70">
        <f t="shared" si="0"/>
        <v>74.738328875772396</v>
      </c>
      <c r="D13" s="70">
        <f t="shared" si="1"/>
        <v>2.261671124227604</v>
      </c>
      <c r="E13" s="73"/>
      <c r="F13" s="73"/>
    </row>
    <row r="14" spans="1:6" ht="15">
      <c r="A14" s="69">
        <v>192</v>
      </c>
      <c r="B14" s="69">
        <v>73</v>
      </c>
      <c r="C14" s="70">
        <f t="shared" si="0"/>
        <v>71.645808355621142</v>
      </c>
      <c r="D14" s="70">
        <f t="shared" si="1"/>
        <v>1.354191644378858</v>
      </c>
      <c r="E14" s="73"/>
      <c r="F14" s="73"/>
    </row>
    <row r="15" spans="1:6" ht="15">
      <c r="A15" s="69">
        <v>154</v>
      </c>
      <c r="B15" s="69">
        <v>52</v>
      </c>
      <c r="C15" s="70">
        <f t="shared" si="0"/>
        <v>52.059845061329895</v>
      </c>
      <c r="D15" s="70">
        <f t="shared" si="1"/>
        <v>-5.9845061329895088E-2</v>
      </c>
      <c r="E15" s="73"/>
      <c r="F15" s="73"/>
    </row>
    <row r="16" spans="1:6" ht="15">
      <c r="A16" s="69">
        <v>170</v>
      </c>
      <c r="B16" s="69">
        <v>64</v>
      </c>
      <c r="C16" s="70">
        <f t="shared" si="0"/>
        <v>60.306566448399892</v>
      </c>
      <c r="D16" s="70">
        <f t="shared" si="1"/>
        <v>3.6934335516001084</v>
      </c>
      <c r="E16" s="73"/>
      <c r="F16" s="73"/>
    </row>
    <row r="17" spans="1:6" ht="15">
      <c r="A17" s="69">
        <v>184</v>
      </c>
      <c r="B17" s="69">
        <v>73</v>
      </c>
      <c r="C17" s="87">
        <f t="shared" si="0"/>
        <v>67.522447662086137</v>
      </c>
      <c r="D17" s="70">
        <f t="shared" si="1"/>
        <v>5.4775523379138633</v>
      </c>
      <c r="E17" s="88"/>
      <c r="F17" s="73"/>
    </row>
    <row r="18" spans="1:6" ht="15">
      <c r="A18" s="69">
        <v>170</v>
      </c>
      <c r="B18" s="69">
        <v>83</v>
      </c>
      <c r="C18" s="87">
        <f t="shared" si="0"/>
        <v>60.306566448399892</v>
      </c>
      <c r="D18" s="70">
        <f t="shared" si="1"/>
        <v>22.693433551600108</v>
      </c>
      <c r="E18" s="76">
        <f>D18/E6</f>
        <v>2.6154985988833306</v>
      </c>
      <c r="F18" s="41"/>
    </row>
    <row r="19" spans="1:6" ht="15">
      <c r="A19" s="92"/>
      <c r="B19" s="92"/>
      <c r="D19" s="86"/>
      <c r="F19" s="32"/>
    </row>
    <row r="20" spans="1:6" ht="15">
      <c r="A20" s="90"/>
      <c r="B20" s="90"/>
      <c r="C20" s="7"/>
      <c r="D20" s="86"/>
      <c r="F20" s="32"/>
    </row>
    <row r="21" spans="1:6">
      <c r="A21" s="89"/>
      <c r="B21" s="89"/>
      <c r="C21" s="7"/>
    </row>
    <row r="22" spans="1:6">
      <c r="A22" t="s">
        <v>145</v>
      </c>
    </row>
    <row r="23" spans="1:6" ht="13.5" thickBot="1"/>
    <row r="24" spans="1:6">
      <c r="A24" s="83" t="s">
        <v>146</v>
      </c>
      <c r="B24" s="83"/>
    </row>
    <row r="25" spans="1:6">
      <c r="A25" s="3" t="s">
        <v>147</v>
      </c>
      <c r="B25" s="3">
        <v>0.76452537833356671</v>
      </c>
    </row>
    <row r="26" spans="1:6">
      <c r="A26" s="3" t="s">
        <v>148</v>
      </c>
      <c r="B26" s="3">
        <v>0.58449905411608327</v>
      </c>
    </row>
    <row r="27" spans="1:6">
      <c r="A27" s="3" t="s">
        <v>149</v>
      </c>
      <c r="B27" s="3">
        <v>0.55679899105715547</v>
      </c>
    </row>
    <row r="28" spans="1:6">
      <c r="A28" s="3" t="s">
        <v>8</v>
      </c>
      <c r="B28" s="3">
        <v>8.9610743436463913</v>
      </c>
    </row>
    <row r="29" spans="1:6" ht="13.5" thickBot="1">
      <c r="A29" s="4" t="s">
        <v>55</v>
      </c>
      <c r="B29" s="4">
        <v>17</v>
      </c>
    </row>
    <row r="31" spans="1:6" ht="13.5" thickBot="1">
      <c r="A31" t="s">
        <v>150</v>
      </c>
    </row>
    <row r="32" spans="1:6">
      <c r="A32" s="5"/>
      <c r="B32" s="5" t="s">
        <v>23</v>
      </c>
      <c r="C32" s="5" t="s">
        <v>24</v>
      </c>
      <c r="D32" s="5" t="s">
        <v>25</v>
      </c>
      <c r="E32" s="5" t="s">
        <v>26</v>
      </c>
      <c r="F32" s="5" t="s">
        <v>27</v>
      </c>
    </row>
    <row r="33" spans="1:7" ht="15">
      <c r="A33" s="3" t="s">
        <v>45</v>
      </c>
      <c r="B33" s="3">
        <v>1</v>
      </c>
      <c r="C33" s="3">
        <v>1694.4283755852241</v>
      </c>
      <c r="D33" s="3">
        <v>1694.4283755852241</v>
      </c>
      <c r="E33" s="3">
        <v>21.101000848721824</v>
      </c>
      <c r="F33" s="93">
        <v>3.5142654967476095E-4</v>
      </c>
    </row>
    <row r="34" spans="1:7">
      <c r="A34" s="3" t="s">
        <v>46</v>
      </c>
      <c r="B34" s="3">
        <v>15</v>
      </c>
      <c r="C34" s="3">
        <v>1204.5128008853637</v>
      </c>
      <c r="D34" s="3">
        <v>80.300853392357581</v>
      </c>
      <c r="E34" s="3"/>
      <c r="F34" s="3"/>
    </row>
    <row r="35" spans="1:7" ht="13.5" thickBot="1">
      <c r="A35" s="4" t="s">
        <v>75</v>
      </c>
      <c r="B35" s="4">
        <v>16</v>
      </c>
      <c r="C35" s="4">
        <v>2898.9411764705878</v>
      </c>
      <c r="D35" s="4"/>
      <c r="E35" s="4"/>
      <c r="F35" s="4"/>
    </row>
    <row r="36" spans="1:7" ht="13.5" thickBot="1"/>
    <row r="37" spans="1:7">
      <c r="A37" s="5"/>
      <c r="B37" s="5" t="s">
        <v>28</v>
      </c>
      <c r="C37" s="5" t="s">
        <v>8</v>
      </c>
      <c r="D37" s="5" t="s">
        <v>29</v>
      </c>
      <c r="E37" s="5" t="s">
        <v>30</v>
      </c>
      <c r="F37" s="5" t="s">
        <v>31</v>
      </c>
      <c r="G37" s="5" t="s">
        <v>32</v>
      </c>
    </row>
    <row r="38" spans="1:7">
      <c r="A38" s="3" t="s">
        <v>151</v>
      </c>
      <c r="B38" s="84">
        <v>-27.314848289218762</v>
      </c>
      <c r="C38" s="84">
        <v>18.470430473206825</v>
      </c>
      <c r="D38" s="84">
        <v>-1.4788419971500737</v>
      </c>
      <c r="E38" s="84">
        <v>0.15987454127980572</v>
      </c>
      <c r="F38" s="91">
        <v>-66.68366312857836</v>
      </c>
      <c r="G38" s="91">
        <v>12.053966550140839</v>
      </c>
    </row>
    <row r="39" spans="1:7" ht="13.5" thickBot="1">
      <c r="A39" s="4" t="s">
        <v>152</v>
      </c>
      <c r="B39" s="85">
        <v>0.51542008669187445</v>
      </c>
      <c r="C39" s="85">
        <v>0.11220438047586073</v>
      </c>
      <c r="D39" s="85">
        <v>4.593582572319983</v>
      </c>
      <c r="E39" s="85">
        <v>3.5142654967475786E-4</v>
      </c>
      <c r="F39" s="34">
        <v>0.27626196390058255</v>
      </c>
      <c r="G39" s="34">
        <v>0.75457820948316634</v>
      </c>
    </row>
  </sheetData>
  <phoneticPr fontId="0" type="noConversion"/>
  <pageMargins left="0.75" right="0.75" top="1" bottom="1" header="0" footer="0"/>
  <pageSetup paperSize="9" orientation="portrait" horizontalDpi="200" verticalDpi="200" copies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11</vt:i4>
      </vt:variant>
    </vt:vector>
  </HeadingPairs>
  <TitlesOfParts>
    <vt:vector size="11" baseType="lpstr">
      <vt:lpstr>Data</vt:lpstr>
      <vt:lpstr>Histogram</vt:lpstr>
      <vt:lpstr>Grafer</vt:lpstr>
      <vt:lpstr>Beskrivende</vt:lpstr>
      <vt:lpstr>Funktioner</vt:lpstr>
      <vt:lpstr>Binomialfordeling</vt:lpstr>
      <vt:lpstr>Frekvenstabel 1</vt:lpstr>
      <vt:lpstr>Frekvenstabel 2</vt:lpstr>
      <vt:lpstr>Regression1</vt:lpstr>
      <vt:lpstr>Regression2</vt:lpstr>
      <vt:lpstr>t-test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birge</dc:creator>
  <cp:lastModifiedBy>birger.madsen@ofir.dk</cp:lastModifiedBy>
  <dcterms:created xsi:type="dcterms:W3CDTF">2017-05-20T09:06:03Z</dcterms:created>
  <dcterms:modified xsi:type="dcterms:W3CDTF">2017-05-20T09:06:03Z</dcterms:modified>
</cp:coreProperties>
</file>